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autoCompressPictures="0" defaultThemeVersion="124226"/>
  <bookViews>
    <workbookView xWindow="0" yWindow="0" windowWidth="20730" windowHeight="11760"/>
  </bookViews>
  <sheets>
    <sheet name="VERIFICACION JURIDICA" sheetId="44" r:id="rId1"/>
    <sheet name="VERIFICACION FINANCIERA" sheetId="45" r:id="rId2"/>
    <sheet name="VERIFICACION TECNICA" sheetId="34" r:id="rId3"/>
    <sheet name="VTE" sheetId="33" r:id="rId4"/>
    <sheet name="500M2" sheetId="43" r:id="rId5"/>
    <sheet name="CALIFICACION PERSONAL" sheetId="35" r:id="rId6"/>
    <sheet name="CORREC. ARITM." sheetId="23" r:id="rId7"/>
    <sheet name="PROPUESTA ECONOMICA" sheetId="32" state="hidden" r:id="rId8"/>
  </sheets>
  <externalReferences>
    <externalReference r:id="rId9"/>
    <externalReference r:id="rId10"/>
    <externalReference r:id="rId11"/>
  </externalReferences>
  <definedNames>
    <definedName name="_Toc212325127" localSheetId="1">'VERIFICACION FINANCIERA'!#REF!</definedName>
    <definedName name="_Toc212325127" localSheetId="0">'VERIFICACION JURIDICA'!#REF!</definedName>
    <definedName name="_Toc212325127" localSheetId="2">'VERIFICACION TECNICA'!#REF!</definedName>
    <definedName name="_xlnm.Print_Area" localSheetId="5">'CALIFICACION PERSONAL'!$A$1:$X$32</definedName>
    <definedName name="_xlnm.Print_Area" localSheetId="0">'VERIFICACION JURIDICA'!$A$1:$V$41</definedName>
    <definedName name="_xlnm.Print_Area" localSheetId="2">'VERIFICACION TECNICA'!$A$1:$V$62</definedName>
    <definedName name="ELECTRICA" localSheetId="0">'[1]3.PRESUP. ELECTRICO'!$A$4:$G$212</definedName>
    <definedName name="ELECTRICA">'[2]3.PRESUP. ELECTRICO'!$A$4:$G$212</definedName>
    <definedName name="Export" localSheetId="5" hidden="1">{"'Hoja1'!$A$1:$I$70"}</definedName>
    <definedName name="Export" localSheetId="1" hidden="1">{"'Hoja1'!$A$1:$I$70"}</definedName>
    <definedName name="Export" localSheetId="0" hidden="1">{"'Hoja1'!$A$1:$I$70"}</definedName>
    <definedName name="Export" hidden="1">{"'Hoja1'!$A$1:$I$70"}</definedName>
    <definedName name="formula">'VERIFICACION TECNICA'!$A$34:$B$36</definedName>
    <definedName name="HTML_CodePage" hidden="1">1252</definedName>
    <definedName name="HTML_Control" localSheetId="5" hidden="1">{"'Hoja1'!$A$1:$I$70"}</definedName>
    <definedName name="HTML_Control" localSheetId="1" hidden="1">{"'Hoja1'!$A$1:$I$70"}</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 localSheetId="0">'[1]2.PRESUPUESTO OBRA CIVIL'!$A$4:$G$224</definedName>
    <definedName name="OBRA_CIVIL">'[2]2.PRESUPUESTO OBRA CIVIL'!$A$4:$G$224</definedName>
    <definedName name="PROGRAMA">'[3]Planes Validar'!$B$2:$B$7</definedName>
    <definedName name="SELECCION">[3]Soluciones!$B$7</definedName>
    <definedName name="_xlnm.Print_Titles" localSheetId="5">'CALIFICACION PERSONAL'!$A:$D,'CALIFICACION PERSONAL'!$1:$12</definedName>
    <definedName name="_xlnm.Print_Titles" localSheetId="1">'VERIFICACION FINANCIERA'!$A:$B,'VERIFICACION FINANCIERA'!$1:$11</definedName>
    <definedName name="_xlnm.Print_Titles" localSheetId="0">'VERIFICACION JURIDICA'!$A:$B,'VERIFICACION JURIDICA'!$1:$8</definedName>
    <definedName name="_xlnm.Print_Titles" localSheetId="2">'VERIFICACION TECNICA'!$A:$B,'VERIFICACION TECNICA'!$1:$11</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P27" i="34" l="1"/>
  <c r="V27" i="34"/>
  <c r="B36" i="34" l="1"/>
  <c r="W27" i="34"/>
  <c r="B35" i="34" s="1"/>
  <c r="B34" i="34"/>
  <c r="V28" i="34" s="1"/>
  <c r="V30" i="34" s="1"/>
  <c r="U13" i="34"/>
  <c r="AQ15" i="33"/>
  <c r="P28" i="34" l="1"/>
  <c r="P30" i="34" s="1"/>
  <c r="AA24" i="43"/>
  <c r="AA18" i="43"/>
  <c r="AA12" i="43"/>
  <c r="AA10" i="33"/>
  <c r="AA12" i="33"/>
  <c r="AA45" i="33"/>
  <c r="AB45" i="33" s="1"/>
  <c r="AA55" i="33"/>
  <c r="AB55" i="33" s="1"/>
  <c r="H27" i="34" l="1"/>
  <c r="J27" i="34"/>
  <c r="N27" i="34"/>
  <c r="R27" i="34"/>
  <c r="N28" i="34" l="1"/>
  <c r="N30" i="34" s="1"/>
  <c r="B38" i="34"/>
  <c r="R28" i="34" l="1"/>
  <c r="R30" i="34" s="1"/>
  <c r="H28" i="34"/>
  <c r="H30" i="34" s="1"/>
  <c r="J28" i="34"/>
  <c r="J30" i="34" s="1"/>
  <c r="W30" i="34" l="1"/>
  <c r="AI10" i="23"/>
  <c r="AJ10" i="23"/>
  <c r="AI11" i="23"/>
  <c r="AJ11" i="23"/>
  <c r="AI12" i="23"/>
  <c r="AJ12" i="23"/>
  <c r="AI13" i="23"/>
  <c r="AJ13" i="23"/>
  <c r="AI14" i="23"/>
  <c r="AJ14" i="23"/>
  <c r="AI15" i="23"/>
  <c r="AJ15" i="23"/>
  <c r="AI16" i="23"/>
  <c r="AJ16" i="23"/>
  <c r="AI17" i="23"/>
  <c r="AJ17" i="23"/>
  <c r="AI18" i="23"/>
  <c r="AJ18" i="23"/>
  <c r="AI19" i="23"/>
  <c r="AJ19" i="23"/>
  <c r="AI20" i="23"/>
  <c r="AJ20" i="23"/>
  <c r="AI21" i="23"/>
  <c r="AJ21" i="23"/>
  <c r="AI22" i="23"/>
  <c r="AJ22" i="23"/>
  <c r="AI23" i="23"/>
  <c r="AJ23" i="23"/>
  <c r="AI24" i="23"/>
  <c r="AJ24" i="23"/>
  <c r="AI25" i="23"/>
  <c r="AJ25" i="23"/>
  <c r="AI26" i="23"/>
  <c r="AJ26" i="23"/>
  <c r="AI27" i="23"/>
  <c r="AJ27" i="23"/>
  <c r="AI28" i="23"/>
  <c r="AJ28" i="23"/>
  <c r="AI29" i="23"/>
  <c r="AJ29" i="23"/>
  <c r="AI30" i="23"/>
  <c r="AJ30" i="23"/>
  <c r="AI31" i="23"/>
  <c r="AJ31" i="23"/>
  <c r="AI32" i="23"/>
  <c r="AJ32" i="23"/>
  <c r="AI33" i="23"/>
  <c r="AJ33" i="23"/>
  <c r="AI34" i="23"/>
  <c r="AJ34" i="23"/>
  <c r="AI35" i="23"/>
  <c r="AJ35" i="23"/>
  <c r="AI36" i="23"/>
  <c r="AJ36" i="23"/>
  <c r="AI37" i="23"/>
  <c r="AJ37" i="23"/>
  <c r="AI38" i="23"/>
  <c r="AJ38" i="23"/>
  <c r="AI39" i="23"/>
  <c r="AJ39" i="23"/>
  <c r="AI40" i="23"/>
  <c r="AJ40" i="23"/>
  <c r="AI41" i="23"/>
  <c r="AJ41" i="23"/>
  <c r="AI42" i="23"/>
  <c r="AJ42" i="23"/>
  <c r="AI43" i="23"/>
  <c r="AJ43" i="23"/>
  <c r="AI44" i="23"/>
  <c r="AJ44" i="23"/>
  <c r="AI45" i="23"/>
  <c r="AJ45" i="23"/>
  <c r="AI46" i="23"/>
  <c r="AJ46" i="23"/>
  <c r="AI47" i="23"/>
  <c r="AJ47" i="23"/>
  <c r="AI48" i="23"/>
  <c r="AJ48" i="23"/>
  <c r="AI49" i="23"/>
  <c r="AJ49" i="23"/>
  <c r="AI50" i="23"/>
  <c r="AJ50" i="23"/>
  <c r="AI51" i="23"/>
  <c r="AJ51" i="23"/>
  <c r="AI52" i="23"/>
  <c r="AJ52" i="23"/>
  <c r="AI53" i="23"/>
  <c r="AJ53" i="23"/>
  <c r="AI54" i="23"/>
  <c r="AJ54" i="23"/>
  <c r="AI55" i="23"/>
  <c r="AJ55" i="23"/>
  <c r="AI56" i="23"/>
  <c r="AJ56" i="23"/>
  <c r="AI57" i="23"/>
  <c r="AJ57" i="23"/>
  <c r="AI58" i="23"/>
  <c r="AJ58" i="23"/>
  <c r="AI59" i="23"/>
  <c r="AJ59" i="23"/>
  <c r="AH65" i="23" l="1"/>
  <c r="AE65" i="23"/>
  <c r="AF10" i="23"/>
  <c r="AG10" i="23"/>
  <c r="AF11" i="23"/>
  <c r="AG11" i="23"/>
  <c r="AF12" i="23"/>
  <c r="AG12" i="23"/>
  <c r="AF13" i="23"/>
  <c r="AG13" i="23"/>
  <c r="AF14" i="23"/>
  <c r="AG14" i="23"/>
  <c r="AF15" i="23"/>
  <c r="AG15" i="23"/>
  <c r="AF16" i="23"/>
  <c r="AG16" i="23"/>
  <c r="AF17" i="23"/>
  <c r="AG17" i="23"/>
  <c r="AF18" i="23"/>
  <c r="AG18" i="23"/>
  <c r="AF19" i="23"/>
  <c r="AG19" i="23"/>
  <c r="AF20" i="23"/>
  <c r="AG20" i="23"/>
  <c r="AF21" i="23"/>
  <c r="AG21" i="23"/>
  <c r="AF22" i="23"/>
  <c r="AG22" i="23"/>
  <c r="AF23" i="23"/>
  <c r="AG23" i="23"/>
  <c r="AF24" i="23"/>
  <c r="AG24" i="23"/>
  <c r="AF25" i="23"/>
  <c r="AG25" i="23"/>
  <c r="AF26" i="23"/>
  <c r="AG26" i="23"/>
  <c r="AF27" i="23"/>
  <c r="AG27" i="23"/>
  <c r="AF28" i="23"/>
  <c r="AG28" i="23"/>
  <c r="AF29" i="23"/>
  <c r="AG29" i="23"/>
  <c r="AF30" i="23"/>
  <c r="AG30" i="23"/>
  <c r="AF31" i="23"/>
  <c r="AG31" i="23"/>
  <c r="AF32" i="23"/>
  <c r="AG32" i="23"/>
  <c r="AF33" i="23"/>
  <c r="AG33" i="23"/>
  <c r="AF34" i="23"/>
  <c r="AG34" i="23"/>
  <c r="AF35" i="23"/>
  <c r="AG35" i="23"/>
  <c r="AF36" i="23"/>
  <c r="AG36" i="23"/>
  <c r="AF37" i="23"/>
  <c r="AG37" i="23"/>
  <c r="AF38" i="23"/>
  <c r="AG38" i="23"/>
  <c r="AF39" i="23"/>
  <c r="AG39" i="23"/>
  <c r="AF40" i="23"/>
  <c r="AG40" i="23"/>
  <c r="AF41" i="23"/>
  <c r="AG41" i="23"/>
  <c r="AF42" i="23"/>
  <c r="AG42" i="23"/>
  <c r="AF43" i="23"/>
  <c r="AG43" i="23"/>
  <c r="AF44" i="23"/>
  <c r="AG44" i="23"/>
  <c r="AF45" i="23"/>
  <c r="AG45" i="23"/>
  <c r="AF46" i="23"/>
  <c r="AG46" i="23"/>
  <c r="AF47" i="23"/>
  <c r="AG47" i="23"/>
  <c r="AF48" i="23"/>
  <c r="AG48" i="23"/>
  <c r="AF49" i="23"/>
  <c r="AG49" i="23"/>
  <c r="AF50" i="23"/>
  <c r="AG50" i="23"/>
  <c r="AF51" i="23"/>
  <c r="AG51" i="23"/>
  <c r="AF52" i="23"/>
  <c r="AG52" i="23"/>
  <c r="AF53" i="23"/>
  <c r="AG53" i="23"/>
  <c r="AF54" i="23"/>
  <c r="AG54" i="23"/>
  <c r="AF55" i="23"/>
  <c r="AG55" i="23"/>
  <c r="AF56" i="23"/>
  <c r="AG56" i="23"/>
  <c r="AF57" i="23"/>
  <c r="AG57" i="23"/>
  <c r="AF58" i="23"/>
  <c r="AG58" i="23"/>
  <c r="AF59" i="23"/>
  <c r="AG59" i="23"/>
  <c r="AB65" i="23" l="1"/>
  <c r="AC10" i="23"/>
  <c r="AD10" i="23"/>
  <c r="AC11" i="23"/>
  <c r="AD11" i="23"/>
  <c r="AC12" i="23"/>
  <c r="AD12" i="23"/>
  <c r="AC13" i="23"/>
  <c r="AD13" i="23"/>
  <c r="AC14" i="23"/>
  <c r="AD14" i="23"/>
  <c r="AC15" i="23"/>
  <c r="AD15" i="23"/>
  <c r="AC16" i="23"/>
  <c r="AD16" i="23"/>
  <c r="AC17" i="23"/>
  <c r="AD17" i="23"/>
  <c r="AC18" i="23"/>
  <c r="AD18" i="23"/>
  <c r="AC19" i="23"/>
  <c r="AD19" i="23"/>
  <c r="AC20" i="23"/>
  <c r="AD20" i="23"/>
  <c r="AC21" i="23"/>
  <c r="AD21" i="23"/>
  <c r="AC22" i="23"/>
  <c r="AD22" i="23"/>
  <c r="AC23" i="23"/>
  <c r="AD23" i="23"/>
  <c r="AC24" i="23"/>
  <c r="AD24" i="23"/>
  <c r="AC25" i="23"/>
  <c r="AD25" i="23"/>
  <c r="AC26" i="23"/>
  <c r="AD26" i="23"/>
  <c r="AC27" i="23"/>
  <c r="AD27" i="23"/>
  <c r="AC28" i="23"/>
  <c r="AD28" i="23"/>
  <c r="AC29" i="23"/>
  <c r="AD29" i="23"/>
  <c r="AC30" i="23"/>
  <c r="AD30" i="23"/>
  <c r="AC31" i="23"/>
  <c r="AD31" i="23"/>
  <c r="AC32" i="23"/>
  <c r="AD32" i="23"/>
  <c r="AC33" i="23"/>
  <c r="AD33" i="23"/>
  <c r="AC34" i="23"/>
  <c r="AD34" i="23"/>
  <c r="AC35" i="23"/>
  <c r="AD35" i="23"/>
  <c r="AC36" i="23"/>
  <c r="AD36" i="23"/>
  <c r="AC37" i="23"/>
  <c r="AD37" i="23"/>
  <c r="AC38" i="23"/>
  <c r="AD38" i="23"/>
  <c r="AC39" i="23"/>
  <c r="AD39" i="23"/>
  <c r="AC40" i="23"/>
  <c r="AD40" i="23"/>
  <c r="AC41" i="23"/>
  <c r="AD41" i="23"/>
  <c r="AC42" i="23"/>
  <c r="AD42" i="23"/>
  <c r="AC43" i="23"/>
  <c r="AD43" i="23"/>
  <c r="AC44" i="23"/>
  <c r="AD44" i="23"/>
  <c r="AC45" i="23"/>
  <c r="AD45" i="23"/>
  <c r="AC46" i="23"/>
  <c r="AD46" i="23"/>
  <c r="AC47" i="23"/>
  <c r="AD47" i="23"/>
  <c r="AC48" i="23"/>
  <c r="AD48" i="23"/>
  <c r="AC49" i="23"/>
  <c r="AD49" i="23"/>
  <c r="AC50" i="23"/>
  <c r="AD50" i="23"/>
  <c r="AC51" i="23"/>
  <c r="AD51" i="23"/>
  <c r="AC52" i="23"/>
  <c r="AD52" i="23"/>
  <c r="AC53" i="23"/>
  <c r="AD53" i="23"/>
  <c r="AC54" i="23"/>
  <c r="AD54" i="23"/>
  <c r="AC55" i="23"/>
  <c r="AD55" i="23"/>
  <c r="AC56" i="23"/>
  <c r="AD56" i="23"/>
  <c r="AC57" i="23"/>
  <c r="AD57" i="23"/>
  <c r="AC58" i="23"/>
  <c r="AD58" i="23"/>
  <c r="AC59" i="23"/>
  <c r="AD59" i="23"/>
  <c r="Y65" i="23" l="1"/>
  <c r="Z10" i="23"/>
  <c r="AA10" i="23"/>
  <c r="Z11" i="23"/>
  <c r="AA11" i="23"/>
  <c r="Z12" i="23"/>
  <c r="AA12" i="23"/>
  <c r="Z13" i="23"/>
  <c r="AA13" i="23"/>
  <c r="Z14" i="23"/>
  <c r="AA14" i="23"/>
  <c r="Z15" i="23"/>
  <c r="AA15" i="23"/>
  <c r="Z16" i="23"/>
  <c r="AA16" i="23"/>
  <c r="Z17" i="23"/>
  <c r="AA17" i="23"/>
  <c r="Z18" i="23"/>
  <c r="AA18" i="23"/>
  <c r="Z19" i="23"/>
  <c r="AA19" i="23"/>
  <c r="Z20" i="23"/>
  <c r="AA20" i="23"/>
  <c r="Z21" i="23"/>
  <c r="AA21" i="23"/>
  <c r="Z22" i="23"/>
  <c r="AA22" i="23"/>
  <c r="Z23" i="23"/>
  <c r="AA23" i="23"/>
  <c r="Z24" i="23"/>
  <c r="AA24" i="23"/>
  <c r="Z25" i="23"/>
  <c r="AA25" i="23"/>
  <c r="Z26" i="23"/>
  <c r="AA26" i="23"/>
  <c r="Z27" i="23"/>
  <c r="AA27" i="23"/>
  <c r="Z28" i="23"/>
  <c r="AA28" i="23"/>
  <c r="Z29" i="23"/>
  <c r="AA29" i="23"/>
  <c r="Z30" i="23"/>
  <c r="AA30" i="23"/>
  <c r="Z31" i="23"/>
  <c r="AA31" i="23"/>
  <c r="Z32" i="23"/>
  <c r="AA32" i="23"/>
  <c r="Z33" i="23"/>
  <c r="AA33" i="23"/>
  <c r="Z34" i="23"/>
  <c r="AA34" i="23"/>
  <c r="Z35" i="23"/>
  <c r="AA35" i="23"/>
  <c r="Z36" i="23"/>
  <c r="AA36" i="23"/>
  <c r="Z37" i="23"/>
  <c r="AA37" i="23"/>
  <c r="Z38" i="23"/>
  <c r="AA38" i="23"/>
  <c r="Z39" i="23"/>
  <c r="AA39" i="23"/>
  <c r="Z40" i="23"/>
  <c r="AA40" i="23"/>
  <c r="Z41" i="23"/>
  <c r="AA41" i="23"/>
  <c r="Z42" i="23"/>
  <c r="AA42" i="23"/>
  <c r="Z43" i="23"/>
  <c r="AA43" i="23"/>
  <c r="Z44" i="23"/>
  <c r="AA44" i="23"/>
  <c r="Z45" i="23"/>
  <c r="AA45" i="23"/>
  <c r="Z46" i="23"/>
  <c r="AA46" i="23"/>
  <c r="Z47" i="23"/>
  <c r="AA47" i="23"/>
  <c r="Z48" i="23"/>
  <c r="AA48" i="23"/>
  <c r="Z49" i="23"/>
  <c r="AA49" i="23"/>
  <c r="Z50" i="23"/>
  <c r="AA50" i="23"/>
  <c r="Z51" i="23"/>
  <c r="AA51" i="23"/>
  <c r="Z52" i="23"/>
  <c r="AA52" i="23"/>
  <c r="Z53" i="23"/>
  <c r="AA53" i="23"/>
  <c r="Z54" i="23"/>
  <c r="AA54" i="23"/>
  <c r="Z55" i="23"/>
  <c r="AA55" i="23"/>
  <c r="Z56" i="23"/>
  <c r="AA56" i="23"/>
  <c r="Z57" i="23"/>
  <c r="AA57" i="23"/>
  <c r="Z58" i="23"/>
  <c r="AA58" i="23"/>
  <c r="Z59" i="23"/>
  <c r="AA59" i="23"/>
  <c r="V65" i="23" l="1"/>
  <c r="W10" i="23"/>
  <c r="X10" i="23"/>
  <c r="W11" i="23"/>
  <c r="X11" i="23"/>
  <c r="W12" i="23"/>
  <c r="X12" i="23"/>
  <c r="W13" i="23"/>
  <c r="X13" i="23"/>
  <c r="W14" i="23"/>
  <c r="X14" i="23"/>
  <c r="W15" i="23"/>
  <c r="X15" i="23"/>
  <c r="W16" i="23"/>
  <c r="X16" i="23"/>
  <c r="W17" i="23"/>
  <c r="X17" i="23"/>
  <c r="W18" i="23"/>
  <c r="X18" i="23"/>
  <c r="W19" i="23"/>
  <c r="X19" i="23"/>
  <c r="W20" i="23"/>
  <c r="X20" i="23"/>
  <c r="W21" i="23"/>
  <c r="X21" i="23"/>
  <c r="W22" i="23"/>
  <c r="X22" i="23"/>
  <c r="W23" i="23"/>
  <c r="X23" i="23"/>
  <c r="W24" i="23"/>
  <c r="X24" i="23"/>
  <c r="W25" i="23"/>
  <c r="X25" i="23"/>
  <c r="W26" i="23"/>
  <c r="X26" i="23"/>
  <c r="W27" i="23"/>
  <c r="X27" i="23"/>
  <c r="W28" i="23"/>
  <c r="X28" i="23"/>
  <c r="W29" i="23"/>
  <c r="X29" i="23"/>
  <c r="W30" i="23"/>
  <c r="X30" i="23"/>
  <c r="W31" i="23"/>
  <c r="X31" i="23"/>
  <c r="W32" i="23"/>
  <c r="X32" i="23"/>
  <c r="W33" i="23"/>
  <c r="X33" i="23"/>
  <c r="W34" i="23"/>
  <c r="X34" i="23"/>
  <c r="W35" i="23"/>
  <c r="X35" i="23"/>
  <c r="W36" i="23"/>
  <c r="X36" i="23"/>
  <c r="W37" i="23"/>
  <c r="X37" i="23"/>
  <c r="W38" i="23"/>
  <c r="X38" i="23"/>
  <c r="W39" i="23"/>
  <c r="X39" i="23"/>
  <c r="W40" i="23"/>
  <c r="X40" i="23"/>
  <c r="W41" i="23"/>
  <c r="X41" i="23"/>
  <c r="W42" i="23"/>
  <c r="X42" i="23"/>
  <c r="W43" i="23"/>
  <c r="X43" i="23"/>
  <c r="W44" i="23"/>
  <c r="X44" i="23"/>
  <c r="W45" i="23"/>
  <c r="X45" i="23"/>
  <c r="W46" i="23"/>
  <c r="X46" i="23"/>
  <c r="W47" i="23"/>
  <c r="X47" i="23"/>
  <c r="W48" i="23"/>
  <c r="X48" i="23"/>
  <c r="W49" i="23"/>
  <c r="X49" i="23"/>
  <c r="W50" i="23"/>
  <c r="X50" i="23"/>
  <c r="W51" i="23"/>
  <c r="X51" i="23"/>
  <c r="W52" i="23"/>
  <c r="X52" i="23"/>
  <c r="W53" i="23"/>
  <c r="X53" i="23"/>
  <c r="W54" i="23"/>
  <c r="X54" i="23"/>
  <c r="W55" i="23"/>
  <c r="X55" i="23"/>
  <c r="W56" i="23"/>
  <c r="X56" i="23"/>
  <c r="W57" i="23"/>
  <c r="X57" i="23"/>
  <c r="W58" i="23"/>
  <c r="X58" i="23"/>
  <c r="W59" i="23"/>
  <c r="X59" i="23"/>
  <c r="S65" i="23" l="1"/>
  <c r="T10" i="23"/>
  <c r="U10" i="23"/>
  <c r="T11" i="23"/>
  <c r="U11" i="23"/>
  <c r="T12" i="23"/>
  <c r="U12" i="23"/>
  <c r="T13" i="23"/>
  <c r="U13" i="23"/>
  <c r="T14" i="23"/>
  <c r="U14" i="23"/>
  <c r="T15" i="23"/>
  <c r="U15" i="23"/>
  <c r="T16" i="23"/>
  <c r="U16" i="23"/>
  <c r="T17" i="23"/>
  <c r="U17" i="23"/>
  <c r="T18" i="23"/>
  <c r="U18" i="23"/>
  <c r="T19" i="23"/>
  <c r="U19" i="23"/>
  <c r="T20" i="23"/>
  <c r="U20" i="23"/>
  <c r="T21" i="23"/>
  <c r="U21" i="23"/>
  <c r="T22" i="23"/>
  <c r="U22" i="23"/>
  <c r="T23" i="23"/>
  <c r="U23" i="23"/>
  <c r="T24" i="23"/>
  <c r="U24" i="23"/>
  <c r="T25" i="23"/>
  <c r="U25" i="23"/>
  <c r="T26" i="23"/>
  <c r="U26" i="23"/>
  <c r="T27" i="23"/>
  <c r="U27" i="23"/>
  <c r="T28" i="23"/>
  <c r="U28" i="23"/>
  <c r="T29" i="23"/>
  <c r="U29" i="23"/>
  <c r="T30" i="23"/>
  <c r="U30" i="23"/>
  <c r="T31" i="23"/>
  <c r="U31" i="23"/>
  <c r="T32" i="23"/>
  <c r="U32" i="23"/>
  <c r="T33" i="23"/>
  <c r="U33" i="23"/>
  <c r="T34" i="23"/>
  <c r="U34" i="23"/>
  <c r="T35" i="23"/>
  <c r="U35" i="23"/>
  <c r="T36" i="23"/>
  <c r="U36" i="23"/>
  <c r="T37" i="23"/>
  <c r="U37" i="23"/>
  <c r="T38" i="23"/>
  <c r="U38" i="23"/>
  <c r="T39" i="23"/>
  <c r="U39" i="23"/>
  <c r="T40" i="23"/>
  <c r="U40" i="23"/>
  <c r="T41" i="23"/>
  <c r="U41" i="23"/>
  <c r="T42" i="23"/>
  <c r="U42" i="23"/>
  <c r="T43" i="23"/>
  <c r="U43" i="23"/>
  <c r="T44" i="23"/>
  <c r="U44" i="23"/>
  <c r="T45" i="23"/>
  <c r="U45" i="23"/>
  <c r="T46" i="23"/>
  <c r="U46" i="23"/>
  <c r="T47" i="23"/>
  <c r="U47" i="23"/>
  <c r="T48" i="23"/>
  <c r="U48" i="23"/>
  <c r="T49" i="23"/>
  <c r="U49" i="23"/>
  <c r="T50" i="23"/>
  <c r="U50" i="23"/>
  <c r="T51" i="23"/>
  <c r="U51" i="23"/>
  <c r="T52" i="23"/>
  <c r="U52" i="23"/>
  <c r="T53" i="23"/>
  <c r="U53" i="23"/>
  <c r="T54" i="23"/>
  <c r="U54" i="23"/>
  <c r="T55" i="23"/>
  <c r="U55" i="23"/>
  <c r="T56" i="23"/>
  <c r="U56" i="23"/>
  <c r="T57" i="23"/>
  <c r="U57" i="23"/>
  <c r="T58" i="23"/>
  <c r="U58" i="23"/>
  <c r="T59" i="23"/>
  <c r="U59" i="23"/>
  <c r="P65" i="23"/>
  <c r="Q10" i="23"/>
  <c r="R10" i="23"/>
  <c r="Q11" i="23"/>
  <c r="R11" i="23"/>
  <c r="Q12" i="23"/>
  <c r="R12" i="23"/>
  <c r="Q13" i="23"/>
  <c r="R13" i="23"/>
  <c r="Q14" i="23"/>
  <c r="R14" i="23"/>
  <c r="Q15" i="23"/>
  <c r="R15" i="23"/>
  <c r="Q16" i="23"/>
  <c r="R16" i="23"/>
  <c r="Q17" i="23"/>
  <c r="R17" i="23"/>
  <c r="Q18" i="23"/>
  <c r="R18" i="23"/>
  <c r="Q19" i="23"/>
  <c r="R19" i="23"/>
  <c r="Q20" i="23"/>
  <c r="R20" i="23"/>
  <c r="Q21" i="23"/>
  <c r="R21" i="23"/>
  <c r="Q22" i="23"/>
  <c r="R22" i="23"/>
  <c r="Q23" i="23"/>
  <c r="R23" i="23"/>
  <c r="Q24" i="23"/>
  <c r="R24" i="23"/>
  <c r="Q25" i="23"/>
  <c r="R25" i="23"/>
  <c r="Q26" i="23"/>
  <c r="R26" i="23"/>
  <c r="Q27" i="23"/>
  <c r="R27" i="23"/>
  <c r="Q28" i="23"/>
  <c r="R28" i="23"/>
  <c r="Q29" i="23"/>
  <c r="R29" i="23"/>
  <c r="Q30" i="23"/>
  <c r="R30" i="23"/>
  <c r="Q31" i="23"/>
  <c r="R31" i="23"/>
  <c r="Q32" i="23"/>
  <c r="R32" i="23"/>
  <c r="Q33" i="23"/>
  <c r="R33" i="23"/>
  <c r="Q34" i="23"/>
  <c r="R34" i="23"/>
  <c r="Q35" i="23"/>
  <c r="R35" i="23"/>
  <c r="Q36" i="23"/>
  <c r="R36" i="23"/>
  <c r="Q37" i="23"/>
  <c r="R37" i="23"/>
  <c r="Q38" i="23"/>
  <c r="R38" i="23"/>
  <c r="Q39" i="23"/>
  <c r="R39" i="23"/>
  <c r="Q40" i="23"/>
  <c r="R40" i="23"/>
  <c r="Q41" i="23"/>
  <c r="R41" i="23"/>
  <c r="Q42" i="23"/>
  <c r="R42" i="23"/>
  <c r="Q43" i="23"/>
  <c r="R43" i="23"/>
  <c r="Q44" i="23"/>
  <c r="R44" i="23"/>
  <c r="Q45" i="23"/>
  <c r="R45" i="23"/>
  <c r="Q46" i="23"/>
  <c r="R46" i="23"/>
  <c r="Q47" i="23"/>
  <c r="R47" i="23"/>
  <c r="Q48" i="23"/>
  <c r="R48" i="23"/>
  <c r="Q49" i="23"/>
  <c r="R49" i="23"/>
  <c r="Q50" i="23"/>
  <c r="R50" i="23"/>
  <c r="Q51" i="23"/>
  <c r="R51" i="23"/>
  <c r="Q52" i="23"/>
  <c r="R52" i="23"/>
  <c r="Q53" i="23"/>
  <c r="R53" i="23"/>
  <c r="Q54" i="23"/>
  <c r="R54" i="23"/>
  <c r="Q55" i="23"/>
  <c r="R55" i="23"/>
  <c r="Q56" i="23"/>
  <c r="R56" i="23"/>
  <c r="Q57" i="23"/>
  <c r="R57" i="23"/>
  <c r="Q58" i="23"/>
  <c r="R58" i="23"/>
  <c r="Q59" i="23"/>
  <c r="R59" i="23"/>
  <c r="M65" i="23" l="1"/>
  <c r="N10" i="23"/>
  <c r="O10" i="23"/>
  <c r="N11" i="23"/>
  <c r="O11" i="23"/>
  <c r="N12" i="23"/>
  <c r="O12" i="23"/>
  <c r="N13" i="23"/>
  <c r="O13" i="23"/>
  <c r="N14" i="23"/>
  <c r="O14" i="23"/>
  <c r="N15" i="23"/>
  <c r="O15" i="23"/>
  <c r="N16" i="23"/>
  <c r="O16" i="23"/>
  <c r="N17" i="23"/>
  <c r="O17" i="23"/>
  <c r="N18" i="23"/>
  <c r="O18" i="23"/>
  <c r="N19" i="23"/>
  <c r="O19" i="23"/>
  <c r="N20" i="23"/>
  <c r="O20" i="23"/>
  <c r="N21" i="23"/>
  <c r="O21" i="23"/>
  <c r="N22" i="23"/>
  <c r="O22" i="23"/>
  <c r="N23" i="23"/>
  <c r="O23" i="23"/>
  <c r="N24" i="23"/>
  <c r="O24" i="23"/>
  <c r="N25" i="23"/>
  <c r="O25" i="23"/>
  <c r="N26" i="23"/>
  <c r="O26" i="23"/>
  <c r="N27" i="23"/>
  <c r="O27" i="23"/>
  <c r="N28" i="23"/>
  <c r="O28" i="23"/>
  <c r="N29" i="23"/>
  <c r="O29" i="23"/>
  <c r="N30" i="23"/>
  <c r="O30" i="23"/>
  <c r="N31" i="23"/>
  <c r="O31" i="23"/>
  <c r="N32" i="23"/>
  <c r="O32" i="23"/>
  <c r="N33" i="23"/>
  <c r="O33" i="23"/>
  <c r="N34" i="23"/>
  <c r="O34" i="23"/>
  <c r="N35" i="23"/>
  <c r="O35" i="23"/>
  <c r="N36" i="23"/>
  <c r="O36" i="23"/>
  <c r="N37" i="23"/>
  <c r="O37" i="23"/>
  <c r="N38" i="23"/>
  <c r="O38" i="23"/>
  <c r="N39" i="23"/>
  <c r="O39" i="23"/>
  <c r="N40" i="23"/>
  <c r="O40" i="23"/>
  <c r="N41" i="23"/>
  <c r="O41" i="23"/>
  <c r="N42" i="23"/>
  <c r="O42" i="23"/>
  <c r="N43" i="23"/>
  <c r="O43" i="23"/>
  <c r="N44" i="23"/>
  <c r="O44" i="23"/>
  <c r="N45" i="23"/>
  <c r="O45" i="23"/>
  <c r="N46" i="23"/>
  <c r="O46" i="23"/>
  <c r="N47" i="23"/>
  <c r="O47" i="23"/>
  <c r="N48" i="23"/>
  <c r="O48" i="23"/>
  <c r="N49" i="23"/>
  <c r="O49" i="23"/>
  <c r="N50" i="23"/>
  <c r="O50" i="23"/>
  <c r="N51" i="23"/>
  <c r="O51" i="23"/>
  <c r="N52" i="23"/>
  <c r="O52" i="23"/>
  <c r="N53" i="23"/>
  <c r="O53" i="23"/>
  <c r="N54" i="23"/>
  <c r="O54" i="23"/>
  <c r="N55" i="23"/>
  <c r="O55" i="23"/>
  <c r="N56" i="23"/>
  <c r="O56" i="23"/>
  <c r="N57" i="23"/>
  <c r="O57" i="23"/>
  <c r="N58" i="23"/>
  <c r="O58" i="23"/>
  <c r="N59" i="23"/>
  <c r="O59" i="23"/>
  <c r="J65" i="23" l="1"/>
  <c r="K11" i="23" l="1"/>
  <c r="L11" i="23"/>
  <c r="K12" i="23"/>
  <c r="L12" i="23"/>
  <c r="K13" i="23"/>
  <c r="L13" i="23"/>
  <c r="K14" i="23"/>
  <c r="L14" i="23"/>
  <c r="K15" i="23"/>
  <c r="L15" i="23"/>
  <c r="K16" i="23"/>
  <c r="L16" i="23"/>
  <c r="K17" i="23"/>
  <c r="L17" i="23"/>
  <c r="K18" i="23"/>
  <c r="L18" i="23"/>
  <c r="K19" i="23"/>
  <c r="L19" i="23"/>
  <c r="K20" i="23"/>
  <c r="L20" i="23"/>
  <c r="K21" i="23"/>
  <c r="L21" i="23"/>
  <c r="K22" i="23"/>
  <c r="L22" i="23"/>
  <c r="K23" i="23"/>
  <c r="L23" i="23"/>
  <c r="K24" i="23"/>
  <c r="L24" i="23"/>
  <c r="K25" i="23"/>
  <c r="L25" i="23"/>
  <c r="K26" i="23"/>
  <c r="L26" i="23"/>
  <c r="K27" i="23"/>
  <c r="L27" i="23"/>
  <c r="K28" i="23"/>
  <c r="L28" i="23"/>
  <c r="K29" i="23"/>
  <c r="L29" i="23"/>
  <c r="K30" i="23"/>
  <c r="L30" i="23"/>
  <c r="K31" i="23"/>
  <c r="L31" i="23"/>
  <c r="K32" i="23"/>
  <c r="L32" i="23"/>
  <c r="K33" i="23"/>
  <c r="L33" i="23"/>
  <c r="K34" i="23"/>
  <c r="L34" i="23"/>
  <c r="K35" i="23"/>
  <c r="L35" i="23"/>
  <c r="K36" i="23"/>
  <c r="L36" i="23"/>
  <c r="K37" i="23"/>
  <c r="L37" i="23"/>
  <c r="K38" i="23"/>
  <c r="L38" i="23"/>
  <c r="K39" i="23"/>
  <c r="L39" i="23"/>
  <c r="K40" i="23"/>
  <c r="L40" i="23"/>
  <c r="K41" i="23"/>
  <c r="L41" i="23"/>
  <c r="K42" i="23"/>
  <c r="L42" i="23"/>
  <c r="K43" i="23"/>
  <c r="L43" i="23"/>
  <c r="K44" i="23"/>
  <c r="L44" i="23"/>
  <c r="K45" i="23"/>
  <c r="L45" i="23"/>
  <c r="K46" i="23"/>
  <c r="L46" i="23"/>
  <c r="K47" i="23"/>
  <c r="L47" i="23"/>
  <c r="K48" i="23"/>
  <c r="L48" i="23"/>
  <c r="K49" i="23"/>
  <c r="L49" i="23"/>
  <c r="K50" i="23"/>
  <c r="L50" i="23"/>
  <c r="K51" i="23"/>
  <c r="L51" i="23"/>
  <c r="K52" i="23"/>
  <c r="L52" i="23"/>
  <c r="K53" i="23"/>
  <c r="L53" i="23"/>
  <c r="K54" i="23"/>
  <c r="L54" i="23"/>
  <c r="K55" i="23"/>
  <c r="L55" i="23"/>
  <c r="K56" i="23"/>
  <c r="L56" i="23"/>
  <c r="K57" i="23"/>
  <c r="L57" i="23"/>
  <c r="K58" i="23"/>
  <c r="L58" i="23"/>
  <c r="K59" i="23"/>
  <c r="L59" i="23"/>
  <c r="K10" i="23"/>
  <c r="L10" i="23"/>
  <c r="I10" i="23"/>
  <c r="I11" i="23"/>
  <c r="I12" i="23"/>
  <c r="I13" i="23"/>
  <c r="I14" i="23"/>
  <c r="I15" i="23"/>
  <c r="I16" i="23"/>
  <c r="I17" i="23"/>
  <c r="I18" i="23"/>
  <c r="I19" i="23"/>
  <c r="I20" i="23"/>
  <c r="I21" i="23"/>
  <c r="I22" i="23"/>
  <c r="I23" i="23"/>
  <c r="I24" i="23"/>
  <c r="I25" i="23"/>
  <c r="I26" i="23"/>
  <c r="I27" i="23"/>
  <c r="I28" i="23"/>
  <c r="I29" i="23"/>
  <c r="I30" i="23"/>
  <c r="I31" i="23"/>
  <c r="I32" i="23"/>
  <c r="I33" i="23"/>
  <c r="I34" i="23"/>
  <c r="I35" i="23"/>
  <c r="I36" i="23"/>
  <c r="I37" i="23"/>
  <c r="I38" i="23"/>
  <c r="I39" i="23"/>
  <c r="I40" i="23"/>
  <c r="I41" i="23"/>
  <c r="I42" i="23"/>
  <c r="I43" i="23"/>
  <c r="I44" i="23"/>
  <c r="I45" i="23"/>
  <c r="I46" i="23"/>
  <c r="I47" i="23"/>
  <c r="I48" i="23"/>
  <c r="I49" i="23"/>
  <c r="I50" i="23"/>
  <c r="I51" i="23"/>
  <c r="I52" i="23"/>
  <c r="I53" i="23"/>
  <c r="I54" i="23"/>
  <c r="I55" i="23"/>
  <c r="I56" i="23"/>
  <c r="I57" i="23"/>
  <c r="I58" i="23"/>
  <c r="I59" i="23"/>
  <c r="H9" i="23"/>
  <c r="H10" i="23"/>
  <c r="H11" i="23"/>
  <c r="H12" i="23"/>
  <c r="H13" i="23"/>
  <c r="H14" i="23"/>
  <c r="H15" i="23"/>
  <c r="H16" i="23"/>
  <c r="H17" i="23"/>
  <c r="H18" i="23"/>
  <c r="H19" i="23"/>
  <c r="H20" i="23"/>
  <c r="H21" i="23"/>
  <c r="H22" i="23"/>
  <c r="H23" i="23"/>
  <c r="H24" i="23"/>
  <c r="H25" i="23"/>
  <c r="H26" i="23"/>
  <c r="H27" i="23"/>
  <c r="H28" i="23"/>
  <c r="H29" i="23"/>
  <c r="H30" i="23"/>
  <c r="H31" i="23"/>
  <c r="H32" i="23"/>
  <c r="H33" i="23"/>
  <c r="H34" i="23"/>
  <c r="H35" i="23"/>
  <c r="H36" i="23"/>
  <c r="H37" i="23"/>
  <c r="H38" i="23"/>
  <c r="H39" i="23"/>
  <c r="H40" i="23"/>
  <c r="H41" i="23"/>
  <c r="H42" i="23"/>
  <c r="H43" i="23"/>
  <c r="H44" i="23"/>
  <c r="H45" i="23"/>
  <c r="H46" i="23"/>
  <c r="H47" i="23"/>
  <c r="H48" i="23"/>
  <c r="H49" i="23"/>
  <c r="H50" i="23"/>
  <c r="H51" i="23"/>
  <c r="H52" i="23"/>
  <c r="H53" i="23"/>
  <c r="H54" i="23"/>
  <c r="H55" i="23"/>
  <c r="H56" i="23"/>
  <c r="H57" i="23"/>
  <c r="H58" i="23"/>
  <c r="H59" i="23"/>
  <c r="H61" i="23" l="1"/>
  <c r="H63" i="23" s="1"/>
  <c r="H62" i="23" l="1"/>
  <c r="H64" i="23"/>
  <c r="H65" i="23" s="1"/>
  <c r="H66" i="23"/>
  <c r="H69" i="23" l="1"/>
  <c r="F10" i="23"/>
  <c r="F11" i="23"/>
  <c r="F12" i="23"/>
  <c r="F13" i="23"/>
  <c r="F14" i="23"/>
  <c r="F15" i="23"/>
  <c r="F16" i="23"/>
  <c r="F17" i="23"/>
  <c r="F18" i="23"/>
  <c r="F19" i="23"/>
  <c r="F20" i="23"/>
  <c r="F21" i="23"/>
  <c r="F22" i="23"/>
  <c r="F23" i="23"/>
  <c r="F24" i="23"/>
  <c r="F25" i="23"/>
  <c r="F26" i="23"/>
  <c r="F27" i="23"/>
  <c r="F28" i="23"/>
  <c r="F29" i="23"/>
  <c r="F30" i="23"/>
  <c r="F31" i="23"/>
  <c r="F32" i="23"/>
  <c r="F33" i="23"/>
  <c r="F34" i="23"/>
  <c r="F35" i="23"/>
  <c r="F36" i="23"/>
  <c r="F37" i="23"/>
  <c r="F38" i="23"/>
  <c r="F39" i="23"/>
  <c r="F40" i="23"/>
  <c r="F41" i="23"/>
  <c r="F42" i="23"/>
  <c r="F43" i="23"/>
  <c r="F44" i="23"/>
  <c r="F45" i="23"/>
  <c r="F46" i="23"/>
  <c r="F47" i="23"/>
  <c r="F48" i="23"/>
  <c r="F49" i="23"/>
  <c r="F50" i="23"/>
  <c r="F51" i="23"/>
  <c r="F52" i="23"/>
  <c r="F53" i="23"/>
  <c r="F54" i="23"/>
  <c r="F55" i="23"/>
  <c r="F56" i="23"/>
  <c r="F57" i="23"/>
  <c r="F58" i="23"/>
  <c r="F59" i="23"/>
  <c r="J16" i="35"/>
  <c r="AQ12" i="43"/>
  <c r="AQ14" i="43" s="1"/>
  <c r="AQ26" i="43"/>
  <c r="AQ20" i="43"/>
  <c r="AQ45" i="33"/>
  <c r="AR45" i="33" s="1"/>
  <c r="AQ35" i="33"/>
  <c r="AR35" i="33" s="1"/>
  <c r="AQ25" i="33"/>
  <c r="AR25" i="33" s="1"/>
  <c r="AM18" i="43"/>
  <c r="AM20" i="43" s="1"/>
  <c r="AM12" i="43"/>
  <c r="AM14" i="43" s="1"/>
  <c r="AM26" i="43"/>
  <c r="AN45" i="33"/>
  <c r="AM45" i="33"/>
  <c r="AM35" i="33"/>
  <c r="AN35" i="33" s="1"/>
  <c r="AM25" i="33"/>
  <c r="AN25" i="33" s="1"/>
  <c r="AM13" i="33"/>
  <c r="AM11" i="33"/>
  <c r="AE12" i="43"/>
  <c r="AE14" i="43" s="1"/>
  <c r="AI24" i="43"/>
  <c r="AI26" i="43" s="1"/>
  <c r="AI18" i="43"/>
  <c r="AI12" i="43"/>
  <c r="AI14" i="43" s="1"/>
  <c r="AI20" i="43"/>
  <c r="AI45" i="33"/>
  <c r="AJ45" i="33" s="1"/>
  <c r="AI35" i="33"/>
  <c r="AJ35" i="33" s="1"/>
  <c r="AI25" i="33"/>
  <c r="AJ25" i="33" s="1"/>
  <c r="AI13" i="33"/>
  <c r="AI12" i="33"/>
  <c r="AI11" i="33"/>
  <c r="AI10" i="33"/>
  <c r="AE26" i="43"/>
  <c r="AE20" i="43"/>
  <c r="AE45" i="33"/>
  <c r="AF45" i="33" s="1"/>
  <c r="AE35" i="33"/>
  <c r="AF35" i="33" s="1"/>
  <c r="AE25" i="33"/>
  <c r="AF25" i="33" s="1"/>
  <c r="AE13" i="33"/>
  <c r="AE11" i="33"/>
  <c r="AM6" i="33" l="1"/>
  <c r="T14" i="34" s="1"/>
  <c r="H72" i="23"/>
  <c r="H73" i="23" s="1"/>
  <c r="AQ11" i="33"/>
  <c r="AQ6" i="43"/>
  <c r="AQ8" i="43" s="1"/>
  <c r="AQ6" i="33"/>
  <c r="V14" i="34" s="1"/>
  <c r="AQ13" i="33"/>
  <c r="AQ10" i="33"/>
  <c r="AQ12" i="33"/>
  <c r="AM6" i="43"/>
  <c r="AM8" i="43" s="1"/>
  <c r="AM15" i="33"/>
  <c r="AM10" i="33"/>
  <c r="AM12" i="33"/>
  <c r="AE6" i="33"/>
  <c r="AI6" i="43"/>
  <c r="AI8" i="43" s="1"/>
  <c r="AI6" i="33"/>
  <c r="AE6" i="43"/>
  <c r="AE8" i="43" s="1"/>
  <c r="AE10" i="33"/>
  <c r="AE12" i="33"/>
  <c r="AA20" i="43"/>
  <c r="AA14" i="43"/>
  <c r="AA26" i="43"/>
  <c r="AA35" i="33"/>
  <c r="AA25" i="33"/>
  <c r="AB25" i="33" s="1"/>
  <c r="W24" i="43"/>
  <c r="W18" i="43"/>
  <c r="S24" i="43"/>
  <c r="S26" i="43" s="1"/>
  <c r="S6" i="43" s="1"/>
  <c r="S8" i="43" s="1"/>
  <c r="S18" i="43"/>
  <c r="K26" i="43"/>
  <c r="K14" i="43"/>
  <c r="O26" i="43"/>
  <c r="O20" i="43"/>
  <c r="O14" i="43"/>
  <c r="S14" i="43"/>
  <c r="S20" i="43"/>
  <c r="W26" i="43"/>
  <c r="W20" i="43"/>
  <c r="W14" i="43"/>
  <c r="W12" i="43"/>
  <c r="W45" i="33"/>
  <c r="X45" i="33" s="1"/>
  <c r="W35" i="33"/>
  <c r="X35" i="33" s="1"/>
  <c r="W25" i="33"/>
  <c r="X25" i="33" s="1"/>
  <c r="W13" i="33"/>
  <c r="W11" i="33"/>
  <c r="S45" i="33"/>
  <c r="T45" i="33" s="1"/>
  <c r="S35" i="33"/>
  <c r="T35" i="33" s="1"/>
  <c r="S25" i="33"/>
  <c r="T25" i="33" s="1"/>
  <c r="S13" i="33"/>
  <c r="S11" i="33"/>
  <c r="O6" i="43"/>
  <c r="O8" i="43" s="1"/>
  <c r="O19" i="33"/>
  <c r="AB35" i="33" l="1"/>
  <c r="AA13" i="33"/>
  <c r="AA11" i="33"/>
  <c r="AI15" i="33"/>
  <c r="R14" i="34"/>
  <c r="AE15" i="33"/>
  <c r="P14" i="34"/>
  <c r="AA6" i="43"/>
  <c r="AA8" i="43" s="1"/>
  <c r="AA6" i="33"/>
  <c r="W6" i="43"/>
  <c r="W8" i="43" s="1"/>
  <c r="W6" i="33"/>
  <c r="W10" i="33"/>
  <c r="W12" i="33"/>
  <c r="S10" i="33"/>
  <c r="S12" i="33"/>
  <c r="S6" i="33"/>
  <c r="O45" i="33"/>
  <c r="P45" i="33" s="1"/>
  <c r="O35" i="33"/>
  <c r="P35" i="33" s="1"/>
  <c r="O25" i="33"/>
  <c r="O13" i="33"/>
  <c r="O11" i="33"/>
  <c r="K18" i="43"/>
  <c r="K20" i="43" s="1"/>
  <c r="G30" i="43"/>
  <c r="G32" i="43" s="1"/>
  <c r="G24" i="43"/>
  <c r="G26" i="43" s="1"/>
  <c r="G18" i="43"/>
  <c r="G20" i="43" s="1"/>
  <c r="G12" i="43"/>
  <c r="G14" i="43" s="1"/>
  <c r="G6" i="43" s="1"/>
  <c r="K13" i="33"/>
  <c r="K11" i="33"/>
  <c r="G19" i="33"/>
  <c r="G55" i="33"/>
  <c r="H55" i="33" s="1"/>
  <c r="D10" i="33"/>
  <c r="K45" i="33"/>
  <c r="L45" i="33" s="1"/>
  <c r="G45" i="33"/>
  <c r="H45" i="33" s="1"/>
  <c r="P25" i="33" l="1"/>
  <c r="O10" i="33"/>
  <c r="W15" i="33"/>
  <c r="L14" i="34"/>
  <c r="AA15" i="33"/>
  <c r="N14" i="34"/>
  <c r="S15" i="33"/>
  <c r="J14" i="34"/>
  <c r="O6" i="33"/>
  <c r="O12" i="33"/>
  <c r="G11" i="33"/>
  <c r="G13" i="33"/>
  <c r="G8" i="43"/>
  <c r="K6" i="43"/>
  <c r="K8" i="43" s="1"/>
  <c r="O15" i="33" l="1"/>
  <c r="H14" i="34"/>
  <c r="AI9" i="23"/>
  <c r="AI61" i="23" s="1"/>
  <c r="AJ9" i="23"/>
  <c r="AF9" i="23"/>
  <c r="AF61" i="23" s="1"/>
  <c r="AG9" i="23"/>
  <c r="AC9" i="23"/>
  <c r="AC61" i="23" s="1"/>
  <c r="AD9" i="23"/>
  <c r="Z9" i="23"/>
  <c r="Z61" i="23" s="1"/>
  <c r="AA9" i="23"/>
  <c r="W9" i="23"/>
  <c r="W61" i="23" s="1"/>
  <c r="X9" i="23"/>
  <c r="T9" i="23"/>
  <c r="T61" i="23" s="1"/>
  <c r="U9" i="23"/>
  <c r="Q9" i="23"/>
  <c r="Q61" i="23" s="1"/>
  <c r="R9" i="23"/>
  <c r="N9" i="23"/>
  <c r="N61" i="23" s="1"/>
  <c r="O9" i="23"/>
  <c r="K9" i="23"/>
  <c r="K61" i="23" s="1"/>
  <c r="L9" i="23"/>
  <c r="G65" i="23"/>
  <c r="F9" i="23"/>
  <c r="F61" i="23" s="1"/>
  <c r="C65" i="23"/>
  <c r="U14" i="34"/>
  <c r="O14" i="34"/>
  <c r="O13" i="34" s="1"/>
  <c r="G14" i="34"/>
  <c r="G13" i="34" s="1"/>
  <c r="K25" i="33"/>
  <c r="K35" i="33"/>
  <c r="G25" i="33"/>
  <c r="G35" i="33"/>
  <c r="H35" i="33" s="1"/>
  <c r="D12" i="33"/>
  <c r="X16" i="35"/>
  <c r="V16" i="35"/>
  <c r="S14" i="34"/>
  <c r="S13" i="34" s="1"/>
  <c r="T16" i="35"/>
  <c r="R16" i="35"/>
  <c r="P16" i="35"/>
  <c r="H16" i="35"/>
  <c r="F16" i="35"/>
  <c r="D16" i="35"/>
  <c r="N16" i="35"/>
  <c r="L16" i="35"/>
  <c r="I9" i="23"/>
  <c r="L28" i="32"/>
  <c r="I26" i="32"/>
  <c r="AJ65" i="23" l="1"/>
  <c r="AA65" i="23"/>
  <c r="X65" i="23"/>
  <c r="R65" i="23"/>
  <c r="U65" i="23"/>
  <c r="O65" i="23"/>
  <c r="L65" i="23"/>
  <c r="G6" i="33"/>
  <c r="I65" i="23"/>
  <c r="T64" i="23"/>
  <c r="T63" i="23"/>
  <c r="T66" i="23" s="1"/>
  <c r="T62" i="23"/>
  <c r="K63" i="23"/>
  <c r="K66" i="23" s="1"/>
  <c r="K64" i="23"/>
  <c r="K62" i="23"/>
  <c r="Q64" i="23"/>
  <c r="Q62" i="23"/>
  <c r="Q63" i="23"/>
  <c r="Q66" i="23" s="1"/>
  <c r="AG65" i="23"/>
  <c r="AD65" i="23"/>
  <c r="G12" i="33"/>
  <c r="G10" i="33"/>
  <c r="L25" i="33"/>
  <c r="K12" i="33"/>
  <c r="K10" i="33"/>
  <c r="K6" i="33"/>
  <c r="F14" i="34" s="1"/>
  <c r="E14" i="34" s="1"/>
  <c r="E13" i="34" s="1"/>
  <c r="H25" i="33"/>
  <c r="L35" i="33"/>
  <c r="M14" i="34"/>
  <c r="M13" i="34" s="1"/>
  <c r="Q14" i="34"/>
  <c r="Q13" i="34" s="1"/>
  <c r="I14" i="34"/>
  <c r="I13" i="34" s="1"/>
  <c r="K14" i="34"/>
  <c r="K13" i="34" s="1"/>
  <c r="K15" i="33" l="1"/>
  <c r="T65" i="23"/>
  <c r="T69" i="23" s="1"/>
  <c r="Q65" i="23"/>
  <c r="Q69" i="23" s="1"/>
  <c r="K65" i="23"/>
  <c r="K69" i="23" s="1"/>
  <c r="F62" i="23"/>
  <c r="AI62" i="23"/>
  <c r="AF62" i="23"/>
  <c r="Z62" i="23"/>
  <c r="W63" i="23"/>
  <c r="W66" i="23" s="1"/>
  <c r="AF63" i="23"/>
  <c r="AF66" i="23" s="1"/>
  <c r="AC63" i="23"/>
  <c r="AC66" i="23" s="1"/>
  <c r="AC62" i="23"/>
  <c r="AC64" i="23"/>
  <c r="W62" i="23"/>
  <c r="N63" i="23"/>
  <c r="N66" i="23" s="1"/>
  <c r="N62" i="23"/>
  <c r="N64" i="23"/>
  <c r="D14" i="34"/>
  <c r="C14" i="34" s="1"/>
  <c r="C13" i="34" s="1"/>
  <c r="G15" i="33"/>
  <c r="AI64" i="23" l="1"/>
  <c r="AI63" i="23"/>
  <c r="AI66" i="23" s="1"/>
  <c r="Z64" i="23"/>
  <c r="W64" i="23"/>
  <c r="W65" i="23" s="1"/>
  <c r="W69" i="23" s="1"/>
  <c r="Z63" i="23"/>
  <c r="Z66" i="23" s="1"/>
  <c r="AF64" i="23"/>
  <c r="F64" i="23"/>
  <c r="F63" i="23"/>
  <c r="F66" i="23" s="1"/>
  <c r="N65" i="23"/>
  <c r="N69" i="23" s="1"/>
  <c r="N72" i="23" s="1"/>
  <c r="N73" i="23" s="1"/>
  <c r="O73" i="23" s="1"/>
  <c r="K72" i="23"/>
  <c r="K73" i="23" s="1"/>
  <c r="L73" i="23" s="1"/>
  <c r="AC65" i="23"/>
  <c r="AC69" i="23" s="1"/>
  <c r="AF65" i="23"/>
  <c r="AF69" i="23" s="1"/>
  <c r="Z65" i="23" l="1"/>
  <c r="AI65" i="23"/>
  <c r="AI69" i="23" s="1"/>
  <c r="Z69" i="23"/>
  <c r="Z72" i="23" s="1"/>
  <c r="F65" i="23"/>
  <c r="F67" i="23" s="1"/>
  <c r="H70" i="23" s="1"/>
  <c r="I70" i="23" s="1"/>
  <c r="AF72" i="23"/>
  <c r="AF73" i="23" s="1"/>
  <c r="AG73" i="23" s="1"/>
  <c r="T72" i="23"/>
  <c r="T73" i="23" s="1"/>
  <c r="U73" i="23" s="1"/>
  <c r="AC72" i="23"/>
  <c r="AC73" i="23" s="1"/>
  <c r="AD73" i="23" s="1"/>
  <c r="W72" i="23"/>
  <c r="W73" i="23" s="1"/>
  <c r="X73" i="23" s="1"/>
  <c r="Q72" i="23"/>
  <c r="Q73" i="23" s="1"/>
  <c r="R73" i="23" s="1"/>
  <c r="Z73" i="23" l="1"/>
  <c r="AA73" i="23" s="1"/>
  <c r="AI72" i="23"/>
  <c r="AI73" i="23" s="1"/>
  <c r="AJ73" i="23" s="1"/>
  <c r="X69" i="23"/>
  <c r="W70" i="23"/>
  <c r="X70" i="23" s="1"/>
  <c r="AJ69" i="23"/>
  <c r="AI70" i="23"/>
  <c r="AJ70" i="23" s="1"/>
  <c r="O69" i="23"/>
  <c r="K70" i="23"/>
  <c r="L70" i="23" s="1"/>
  <c r="U69" i="23"/>
  <c r="T70" i="23"/>
  <c r="U70" i="23" s="1"/>
  <c r="AG69" i="23"/>
  <c r="AF70" i="23"/>
  <c r="AG70" i="23" s="1"/>
  <c r="L69" i="23"/>
  <c r="J75" i="23" s="1"/>
  <c r="R69" i="23"/>
  <c r="Q70" i="23"/>
  <c r="R70" i="23" s="1"/>
  <c r="AD69" i="23"/>
  <c r="AC70" i="23"/>
  <c r="AD70" i="23" s="1"/>
  <c r="N70" i="23"/>
  <c r="O70" i="23" s="1"/>
  <c r="AA69" i="23"/>
  <c r="Z70" i="23"/>
  <c r="AA70" i="23" s="1"/>
  <c r="I69" i="23"/>
  <c r="I73" i="23"/>
  <c r="AH75" i="23" l="1"/>
  <c r="G75" i="23"/>
  <c r="S75" i="23"/>
  <c r="AB75" i="23"/>
  <c r="AE75" i="23"/>
  <c r="M75" i="23"/>
  <c r="V75" i="23"/>
  <c r="Y75" i="23"/>
  <c r="P75" i="23"/>
</calcChain>
</file>

<file path=xl/comments1.xml><?xml version="1.0" encoding="utf-8"?>
<comments xmlns="http://schemas.openxmlformats.org/spreadsheetml/2006/main">
  <authors>
    <author>Carlos</author>
  </authors>
  <commentList>
    <comment ref="B43" authorId="0">
      <text>
        <r>
          <rPr>
            <b/>
            <sz val="12"/>
            <color indexed="81"/>
            <rFont val="Tahoma"/>
            <family val="2"/>
          </rPr>
          <t>Carlos:</t>
        </r>
        <r>
          <rPr>
            <sz val="12"/>
            <color indexed="81"/>
            <rFont val="Tahoma"/>
            <family val="2"/>
          </rPr>
          <t xml:space="preserve">
ESCOGER FORMULA</t>
        </r>
      </text>
    </comment>
  </commentList>
</comments>
</file>

<file path=xl/sharedStrings.xml><?xml version="1.0" encoding="utf-8"?>
<sst xmlns="http://schemas.openxmlformats.org/spreadsheetml/2006/main" count="1505" uniqueCount="390">
  <si>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</si>
  <si>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</si>
  <si>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</si>
  <si>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</si>
  <si>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</si>
  <si>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</si>
  <si>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</si>
  <si>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</si>
  <si>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</si>
  <si>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</si>
  <si>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</si>
  <si>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</si>
  <si>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</si>
  <si>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</si>
  <si>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</si>
  <si>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</si>
  <si>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</si>
  <si>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</si>
  <si>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</si>
  <si>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</si>
  <si>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</si>
  <si>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</si>
  <si>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</si>
  <si>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</si>
  <si>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</si>
  <si>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</si>
  <si>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</si>
  <si>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</si>
  <si>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</si>
  <si>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</si>
  <si>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</si>
  <si>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</si>
  <si>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</si>
  <si>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</si>
  <si>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</si>
  <si>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</si>
  <si>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</si>
  <si>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</si>
  <si>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</si>
  <si>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</si>
  <si>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</si>
  <si>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</si>
  <si>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</si>
  <si>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</si>
  <si>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</si>
  <si>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</si>
  <si>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</si>
  <si>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</si>
  <si>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</si>
  <si>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</si>
  <si>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</si>
  <si>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</si>
  <si>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</si>
  <si>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</si>
  <si>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</si>
  <si>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</si>
  <si>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</si>
  <si>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</si>
  <si>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</si>
  <si>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</si>
  <si>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</si>
  <si>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</si>
  <si>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</si>
  <si>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</si>
  <si>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</si>
  <si>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</si>
  <si>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PRESUPUESTO OFICIAL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</si>
  <si>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</si>
  <si>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</si>
  <si>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</si>
  <si>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</si>
  <si>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</si>
  <si>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</si>
  <si>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</si>
  <si>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</si>
  <si>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</si>
  <si>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</si>
  <si>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</si>
  <si>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</si>
  <si>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</si>
  <si>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</si>
  <si>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</si>
  <si>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</si>
  <si>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</si>
  <si>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</si>
  <si>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TOTAL PRESUPUESTO OFICIAL</t>
  </si>
  <si>
    <t>4.10</t>
  </si>
  <si>
    <t>UNIVERSIDAD DEL CAUCA</t>
  </si>
  <si>
    <t>TOTAL PROPUESTA ECONOMICA</t>
  </si>
  <si>
    <t>Firma Proponente</t>
  </si>
  <si>
    <t>ANEXO B. PROPUESTA TECNO-ECONOMICA</t>
  </si>
  <si>
    <t xml:space="preserve"> VrUnit. Ofertado</t>
  </si>
  <si>
    <t>≤ VrUnit. Oficial</t>
  </si>
  <si>
    <t>VALOR PROPUESTA PRESENTADA</t>
  </si>
  <si>
    <t>DIFERENCIA</t>
  </si>
  <si>
    <t>VrUnit. Ofertado ≤ VrUnit. Oficial</t>
  </si>
  <si>
    <t>CUMPLE (SI/NO)</t>
  </si>
  <si>
    <t>OK</t>
  </si>
  <si>
    <t>VALOR PROPUESTA CORREGIDA &lt;= PRESUPUESTO OFICIAL</t>
  </si>
  <si>
    <t>VALOR PROPUESTA CORREGIDA &gt;= 95% PRESUPUESTO OFICIAL</t>
  </si>
  <si>
    <t>CJ</t>
  </si>
  <si>
    <t>PROPONENTE</t>
  </si>
  <si>
    <t>OFICIAL</t>
  </si>
  <si>
    <t>VALOR TOTAL EJECUTADO (VTE)</t>
  </si>
  <si>
    <t>VTE1</t>
  </si>
  <si>
    <t>EXPERIENCIA ESPECIFICA</t>
  </si>
  <si>
    <t>VTE</t>
  </si>
  <si>
    <t>CONTRATO 1</t>
  </si>
  <si>
    <t>VALOR</t>
  </si>
  <si>
    <t>RUP</t>
  </si>
  <si>
    <t>AÑO DE TERMINACION</t>
  </si>
  <si>
    <t>% PARTICIPACION</t>
  </si>
  <si>
    <t>CONTRATO 2</t>
  </si>
  <si>
    <t>LICITACION No. 020-2017</t>
  </si>
  <si>
    <t>VALOR TOTAL EJECUTADO</t>
  </si>
  <si>
    <t>UNIVERSIDAD DEL CAUCA - VICERRECTORÍA ADMINISTRATIVA</t>
  </si>
  <si>
    <t xml:space="preserve">COMITÉ TÉCNICO ASESOR </t>
  </si>
  <si>
    <t>PROPONENTES</t>
  </si>
  <si>
    <t>REQUERIMIENTOS</t>
  </si>
  <si>
    <t>CUMPLE</t>
  </si>
  <si>
    <t>VALOR/ OBSERVACION</t>
  </si>
  <si>
    <t>EXPERIENCIA ESPECÍFICA</t>
  </si>
  <si>
    <t>NO</t>
  </si>
  <si>
    <t>SI</t>
  </si>
  <si>
    <t>N/A</t>
  </si>
  <si>
    <t>PERSONAL MÍNIMO REQUERIDO</t>
  </si>
  <si>
    <t>CONCEPTO</t>
  </si>
  <si>
    <t>NO HABIL</t>
  </si>
  <si>
    <t>HABIL</t>
  </si>
  <si>
    <t>ORIGINAL FIRMADO</t>
  </si>
  <si>
    <t>CARLOS JULIO ZUÑIGA SANCHEZ</t>
  </si>
  <si>
    <t>Profesional Universitario</t>
  </si>
  <si>
    <t>CIELO PEREZ SOLANO</t>
  </si>
  <si>
    <t>Presidenta Junta de Licitaciones y Contratos</t>
  </si>
  <si>
    <t>Vicerrectora Administrativa</t>
  </si>
  <si>
    <t>PROPUESTA ECONOMICA</t>
  </si>
  <si>
    <t>Corrección Aritmetica</t>
  </si>
  <si>
    <t>UNIVERSIDAD DEL CAUCA - VICERRECTORIA ADMINISTRATIVA</t>
  </si>
  <si>
    <t xml:space="preserve">COMITÉ TECNICO ASESOR </t>
  </si>
  <si>
    <t>CALIFICACIÓN  FACTOR CALIDAD</t>
  </si>
  <si>
    <t>ÍTEM</t>
  </si>
  <si>
    <t>PERSONAL MINIMO DEL PROCESO</t>
  </si>
  <si>
    <t>FACTOR CALIDAD</t>
  </si>
  <si>
    <t>PUNTAJE POR PERSONAL OFRECIDO PARA LA OBRA</t>
  </si>
  <si>
    <t>RESIDENTE DE OBRA</t>
  </si>
  <si>
    <t>TOTAL</t>
  </si>
  <si>
    <t>MAX</t>
  </si>
  <si>
    <t>MARIA JOSE GONZALEZ CASAS</t>
  </si>
  <si>
    <t>LUIS FERNANDO POLANCO FLOREZ</t>
  </si>
  <si>
    <t>EDGAR FELIPE ACOSTA</t>
  </si>
  <si>
    <t>CONSORCIO NISA CAUCA</t>
  </si>
  <si>
    <t>20% VTE</t>
  </si>
  <si>
    <t>2.1 - h)</t>
  </si>
  <si>
    <t>MAESTRO DE OBRA</t>
  </si>
  <si>
    <t>Carta de Compromiso 100%</t>
  </si>
  <si>
    <t>MAESTRO
FECHA EXP. 2002
DISPONIBILIDAD 100%</t>
  </si>
  <si>
    <t>ING. CIVIL
FECHA EXP. 1996
DISPONIBILIDAD 50%</t>
  </si>
  <si>
    <t>ING. CIVIL
FECHA EXP. 1990
DISPONIBILIDAD 50%</t>
  </si>
  <si>
    <t>ING. CIVIL
FECHA EXP. 2004
DISPONIBILIDAD 100%</t>
  </si>
  <si>
    <t>ING. CIVIL
FECHA EXP. 1992
DISPONIBILIDAD 50%</t>
  </si>
  <si>
    <t>ING. CIVIL
FECHA EXP. 1998
DISPONIBILIDAD 100%</t>
  </si>
  <si>
    <t>MAESTRO
FECHA EXP. 2000
DISPONIBILIDAD 100%</t>
  </si>
  <si>
    <t>ING. CIVIL
FECHA EXP. 1996
DISPONIBILIDAD 100%</t>
  </si>
  <si>
    <t>VTE2</t>
  </si>
  <si>
    <t>MAESTRO
FECHA EXP. 2003
DISPONIBILIDAD 100%</t>
  </si>
  <si>
    <t>MAESTRO
FECHA EXP. 1997
DISPONIBILIDAD 100%</t>
  </si>
  <si>
    <t>2.1 - g)</t>
  </si>
  <si>
    <t>ING. CIVIL
FECHA EXP. 2003
DISPONIBILIDAD 100%</t>
  </si>
  <si>
    <t>NO OK</t>
  </si>
  <si>
    <t>Profesional Especializado</t>
  </si>
  <si>
    <t>VICTOR HUGO RODRIGUEZ</t>
  </si>
  <si>
    <t>VICERRECTORIA ADMINISTRATIVA</t>
  </si>
  <si>
    <t>JUAN CARLOS VALENCIA CARVAJAL</t>
  </si>
  <si>
    <t>PORCENTAJE DE CORRECCION &lt;= 0.1%</t>
  </si>
  <si>
    <t>LICITACIÓN PÚBLICA N° 022-2017</t>
  </si>
  <si>
    <t xml:space="preserve">VICTOR GABRIEL PARRA JURADO </t>
  </si>
  <si>
    <t>CONSORCIO DONA</t>
  </si>
  <si>
    <t>CONSORCIO AGRIMCA</t>
  </si>
  <si>
    <t>CLARA ALICIA RODRIGUEZ GUERRERO</t>
  </si>
  <si>
    <t>CONSORCIO SANDOVAL</t>
  </si>
  <si>
    <t>EXPERIENCIA ESPECIFICA
1) MÁXIMO tres (03) contratos de obra de construcción y/o adecuación y/o ampliación y/o mantenimiento de edificaciones no residenciales, y cuya sumatoria sea igual o superior al presupuesto oficial. 
2) Actas de liquidación y/o Actas de recibo final de los contratos aportados en las que sea posible verificar las actividades objeto del presente proceso requerido por la Universidad.
Cada contrato que el proponente aporte como experiencia específica debe estar registrado en el RUP y debe encontrarse inscrito en el registro único de proponentes – RUP en alguno de los códigos UNSPSC exigido en el numeral 2.1 literal (e) del presente pliego de condiciones. 721214 - 721524</t>
  </si>
  <si>
    <t>VALOR TOTAL EJECUTADO 
PO = $ 354.643.712</t>
  </si>
  <si>
    <t>En el caso de estructura plural, uno de los integrantes del proponente debe aportar como mínimo el cuarenta (40%) de la experiencia especifica solicitada relacionada con el criterio VALOR TOTAL EJECUTADO ($ 141.857.485) y participacion minima en la estructura plural del veinticinco por ciento (25%).</t>
  </si>
  <si>
    <t>Cada uno de los integrantes de la estructura plural debe garantizar una experiencia mínima del veinte por ciento (20%) relacionado con el criterio de VALOR TOTAL EJECUTADO ($ 70.928.742), es decir cada integrante debe acreditar experiencia especifica.</t>
  </si>
  <si>
    <t>CONTRATO 3</t>
  </si>
  <si>
    <t>% PARTICIPACION (25%)</t>
  </si>
  <si>
    <t>40% VTE</t>
  </si>
  <si>
    <t>721214 - 721524</t>
  </si>
  <si>
    <t>MAESTRO
FECHA EXP. 1981
DISPONIBILIDAD 100%</t>
  </si>
  <si>
    <r>
      <rPr>
        <b/>
        <sz val="12"/>
        <rFont val="Arial Narrow"/>
        <family val="2"/>
      </rPr>
      <t>Director de obra</t>
    </r>
    <r>
      <rPr>
        <sz val="12"/>
        <rFont val="Arial Narrow"/>
        <family val="2"/>
      </rPr>
      <t>: Un (1) ingeniero civil o arquitecto, con al menos cinco (05) años de experiencia general, contados a partir de la expedición de la matricula profesional</t>
    </r>
  </si>
  <si>
    <r>
      <rPr>
        <b/>
        <sz val="12"/>
        <rFont val="Arial Narrow"/>
        <family val="2"/>
      </rPr>
      <t>Residente de Obra</t>
    </r>
    <r>
      <rPr>
        <sz val="12"/>
        <rFont val="Arial Narrow"/>
        <family val="2"/>
      </rPr>
      <t xml:space="preserve">. (1) ingeniero civil o arquitecto con al menos dos (2) años de experiencia general, contados a partir de la expedición de la matricula profesional.
</t>
    </r>
  </si>
  <si>
    <r>
      <rPr>
        <b/>
        <sz val="12"/>
        <rFont val="Arial Narrow"/>
        <family val="2"/>
      </rPr>
      <t>Maestro de obra</t>
    </r>
    <r>
      <rPr>
        <sz val="12"/>
        <rFont val="Arial Narrow"/>
        <family val="2"/>
      </rPr>
      <t xml:space="preserve">. (1) maestro o técnico en construcción con al menos dos (2) años de experiencia general, contados a partir de la expedición de la matrícula.
</t>
    </r>
  </si>
  <si>
    <t>EL CONTRATO No.1 ESTA REGISTRADO CON EL CODIGO UNSPSC 721214 - 721524
EL CONTRATO No.2 ESTA REGISTRADO EN EL CODIGO UNSPSC 721214 - 721524
EL CONTRATO No.3 ESTA REGISTRADO EN EL CODIGO UNSPSC 721214 - 721524</t>
  </si>
  <si>
    <t>En particular el oferente con los contratos aportados debe demostrar que ha instalado al menos QUINIENTOS (500) metros cuadrados (m2) de carpintería metálica y/o aluminio.</t>
  </si>
  <si>
    <t>(500) metros cuadrados (m2) de carpintería metálica y/o aluminio.</t>
  </si>
  <si>
    <t>CANTIDAD TOTAL EJECUTADO</t>
  </si>
  <si>
    <t>CANTIDAD M2</t>
  </si>
  <si>
    <t>ING. CIVIL
FECHA EXP. 1978
DISPONIBILIDAD 50%</t>
  </si>
  <si>
    <t>ING. CIVIL
FECHA EXP. 1986
DISPONIBILIDAD 100%</t>
  </si>
  <si>
    <t>EL CONTRATO No.1 ESTA REGISTRADO CON EL CODIGO UNSPSC 721214 - 721524</t>
  </si>
  <si>
    <t>ING. CIVIL
FECHA EXP. 1995
DISPONIBILIDAD 30%</t>
  </si>
  <si>
    <t>ING. CIVIL
FECHA EXP. 2013
DISPONIBILIDAD 100%</t>
  </si>
  <si>
    <t>ING. CIVIL
FECHA EXP. 2003
DISPONIBILIDAD 50%</t>
  </si>
  <si>
    <t>MAESTRO
FECHA EXP. 1996
DISPONIBILIDAD 100%</t>
  </si>
  <si>
    <t>ING. CIVIL
FECHA EXP. 1999
DISPONIBILIDAD 30%</t>
  </si>
  <si>
    <t>ING. CIVIL
FECHA EXP. 1999
DISPONIBILIDAD 100%</t>
  </si>
  <si>
    <t>MAESTRO
FECHA EXP. 2006
DISPONIBILIDAD 100%</t>
  </si>
  <si>
    <t>ING. CIVIL
FECHA EXP. 2002
DISPONIBILIDAD 100%</t>
  </si>
  <si>
    <t>EL CONTRATO No.1 ESTA REGISTRADO CON EL CODIGO UNSPSC 721214 - 721524
EL CONTRATO No.2 ESTA REGISTRADO EN EL CODIGO UNSPSC 721214
EL CONTRATO No.3 ESTA REGISTRADO EN EL CODIGO UNSPSC 721214</t>
  </si>
  <si>
    <t>CON LOS CONTRATOS APORTADOS SOLO CERTIFICA 161.43 M2 DE CARP. EN ALUMINIO Y/O METALICA</t>
  </si>
  <si>
    <t>ING. CIVIL
FECHA EXP. 2007</t>
  </si>
  <si>
    <t>ING. CIVIL
FECHA EXP. 2009
DISPONIBILIDAD 100%</t>
  </si>
  <si>
    <t>EL CONTRATO No.1 ESTA REGISTRADO CON EL CODIGO UNSPSC 721214 - 721524
EL CONTRATO No.2 ESTA REGISTRADO EN EL CODIGO UNSPSC 721214 - 721524</t>
  </si>
  <si>
    <t>ING. CIVIL
FECHA EXP. 2005
DISPONIBILIDAD 100%</t>
  </si>
  <si>
    <t>ING. CIVIL
FECHA EXP. 2007
DISPONIBILIDAD 100%</t>
  </si>
  <si>
    <t>OBJETO: CONSTRUCCION, SUMINISTRO E INSTALACION DE CARPINTERIA EN ALUMINIO  ETAPA 2 EDIFICIO FACULTAD DE CIENCIAS HUMANAS Y SOCIALES DE LA UNIVERSIDAD DEL CAUCA</t>
  </si>
  <si>
    <t xml:space="preserve">CARPINTERIA EN ALUMINIO </t>
  </si>
  <si>
    <t>1.1</t>
  </si>
  <si>
    <t>CONSTRUCCION, SUMINISTRO E INSTALACION DE PUERTA Y MARCO EN ALUMINIO: MARCO EN CANAL CA 3"X1"; NAVE DE PUERTA EN TUBULAR T103,CUERPO SUPERIOR EN VIDRIO CRISTAL 4 mm, CON SISTEMA ALAMO PARA SUJECIÓN DE VIDRIO; CUERPO INFERIOR EN SISTEMA ENTAMBORADO U71,  CHAPA CON CERROJO DE SEGURIDAD (YALE, INALE,VERA), 2 MANIJAS BARRA TUBULAR 3*1 LS , FIJACION A CUATRO BISAGRAS . MONTANTE EN PERSIANA FIJA ALN 315 CADA 0.05 MTS. DIMENSIONES TOTALES 1.00 MTS X 2.90 MTS    -MPVA 1-</t>
  </si>
  <si>
    <t>1.2</t>
  </si>
  <si>
    <t>CONSTRUCCION, SUMINISTRO E INSTALACION DE PUERTA Y MARCO EN ALUMINIO: MARCO EN CANAL CA 3"X1"; NAVE DE PUERTA EN TUBULAR T103,CUERPO SUPERIOR EN VIDRIO CRISTAL 4 mm, CON SISTEMA ALAMO PARA SUJECIÓN DE VIDRIO; CUERPO INFERIOR EN SISTEMA ENTAMBORADO U71,  CHAPA CON CERROJO DE SEGURIDAD (YALE, INALE,VERA), 2 MANIJAS BARRA TUBULAR  3*1 LS , FIJACION A CUATRO BISAGRAS . MONTANTE EN PERSIANA FIJA ALN 315 CADA 0.05 MTS. DIMENSIONES TOTALES 0.80 MTS X 2.90 MTS   -MPVA 2-</t>
  </si>
  <si>
    <t>1.3</t>
  </si>
  <si>
    <t>CONSTRUCCION, SUMINISTRO E INSTALACION DE PUERTA Y MARCO EN ALUMINIO: MARCO EN CANAL CA 3"X1"; NAVE DE PUERTA EN TUBULAR T103,CUERPO SUPERIOR EN VIDRIO CRISTAL 4 mm, CON SISTEMA ALAMO PARA SUJECIÓN DE VIDRIO; CUERPO INFERIOR EN SISTEMA ENTAMBORADO U71,  CHAPA CON CERROJO DE SEGURIDAD (YALE, INALE,VERA), 2 MANIJAS BARRA TUBULAR 3*1 LS , FIJACION A CUATRO BISAGRAS . MONTANTE EN PERSIANA FIJA ALN 315 CADA 0.05 MTS. . DIMENSIONES TOTALES 1.00 MTS X 3.00 MTS   -MPVA 3-</t>
  </si>
  <si>
    <t>1.4</t>
  </si>
  <si>
    <t>CONSTRUCCION, SUMINISTRO E INSTALACION DE PUERTA Y MARCO EN ALUMINIO:  MARCO EN CANAL CA 3"X1"; NAVE DE PUERTA EN TUBULAR T103,CUERPOS SUPERIOR E INFERIOR EN VIDRIO CRISTAL 4 mm, CON SISTEMA ALAMO PARA SUJECIÓN DE VIDRIO; CHAPA CON CERROJO DE SEGURIDAD (YALE, INALE,VERA), 2 MANIJAS BARRA TUBULAR 3 *1 LS , FIJACION A CUATRO BISAGRAS . MONTANTE EN PERSIANA FIJA ALN 315 CADA 0.05 MTS.INCLUYE CUERPO LATERAL FIJO, CON VIDRIO CRISTAL 4 mm ANCHO = 0.25 MTS. DIMENSIONES TOTALES 1.15 MTS X 2.90 MTS   -MPVA 4-</t>
  </si>
  <si>
    <t>1.5</t>
  </si>
  <si>
    <t>CONSTRUCCION, SUMINISTRO E INSTALACION DE PUERTA Y MARCO EN ALUMINIO: MARCO EN CANAL CA  3"X1"; NAVE DE PUERTA EN TUBULAR T103, CUERPO SUPERIOR E INFERIOR SISTEMA ENTAMBORADO U71, CON SISTEMA ALAMO PARA SUJECIÓN;   CHAPA TIPO BAÑO BOLA O MANIJA  (YALE, INALE,VERA), 2 MANIJAS BARRA TUBULAR  3*1 LS , FIJACION A CUATRO BISAGRAS . MONTANTE EN PERSIANA FIJA ALN 315 CADA 0.05 MTS. DIMENSIONES TOTALES 0.80 MTS X 3.00 MTS   -MPAA 5-</t>
  </si>
  <si>
    <t>1.6</t>
  </si>
  <si>
    <t>CONSTRUCCION, SUMINISTRO E INSTALACION DE PUERTA Y MARCO EN ALUMINIO: MARCO EN CANAL CA 3"X1"; NAVE DE PUERTA EN TUBULAR T103, CUERPO SUPERIOR E INFERIOR SISTEMA ENTAMBORADO U71, CON SISTEMA ALAMO PARA SUJECIÓN;   CHAPA CERROJO DE SEGURIDAD  (YALE, INALE,VERA), 2 MANIJAS BARRA TUBULAR LONGITUD 3*1 LS, FIJACION A CUATRO BISAGRAS . MONTANTE EN PERSIANA FIJA ALN 315 CADA 0.05 MTS. DIMENSIONES TOTALES 0.80 MTS X 2.90 MTS   -MPAA 6-</t>
  </si>
  <si>
    <t xml:space="preserve">UND </t>
  </si>
  <si>
    <t>1.7</t>
  </si>
  <si>
    <t>CONSTRUCCION, SUMINISTRO E INSTALACION DE PUERTA Y MARCO EN ALUMINIO: MARCO EN CANAL CA 3"X1"; NAVE DE PUERTA EN TUBULAR T103, CUERPO SUPERIOR E INFERIOR SISTEMA ENTAMBORADO U71, CON SISTEMA ALAMO PARA SUJECIÓN;   CHAPA TIPO BAÑO BOLA O MANIJA  (YALE, INALE,VERA), 2 MANIJAS BARRA TUBULAR 3*1 LS, FIJACION A CUATRO BISAGRAS . MONTANTE EN PERSIANA FIJA ALN 315 CADA 0.05 MTS. DIMENSIONES TOTALES 0.80 MTS X 2.90 MTS   -MPVA 7-</t>
  </si>
  <si>
    <t>1.8</t>
  </si>
  <si>
    <t>CONSTRUCCION, SUMINISTRO E INSTALACION DE PUERTA NAVE CORREDIZA EN TUBULAR T103, ENCHAPE F06,SEGURO PASADOR DE LUJO GRANDE, MARCO LATERAL EN CANAL 3"X1" CA, INCLUYE RIEL SUPERIOR PARA SUJECIÓN, JUEGOS DE RODAMIENTOS X 4. DIMENSIONES DE LA NAVE CORREDIZA 1.20 MTS X 2.20 MTS   -MPAAC8-</t>
  </si>
  <si>
    <t>1.9</t>
  </si>
  <si>
    <t>CONSTRUCCION, SUMINISTRO E INSTALACION DE PUERTA Y MARCO EN ALUMINIO: MARCO EN CANALCA 3"X1"; NAVE DE PUERTA EN TUBULAR T103,CUERPO SUPERIOR EN VIDRIO CRISTAL 4 mm, CON SISTEMA ALAMO PARA SUJECIÓN DE VIDRIO; CUERPO INFERIOR EN SISTEMA ENTAMBORADO U71,  CHAPA CON CERROJO DE SEGURIDAD (YALE, INALE,VERA), 2 MANIJAS BARRA TUBULAR LONGITUD 3*1 LS, FIJACION A CUATRO BISAGRAS . MONTANTE EN PERSIANA FIJA ALN 315 CADA 0.05 MTS.; DIMENSIONES TOTALES 1.03 MTS X 3.00 MTS   -MPVA 9-</t>
  </si>
  <si>
    <t>1.10</t>
  </si>
  <si>
    <t>CONSTRUCCION, SUMINISTRO E INSTALACION DE PUERTA Y MARCO EN ALUMINIO: MARCO EN CANAL CA 3"X1"; NAVE DE PUERTA EN TUBULAR T103, CUERPO SUPERIOR E INFERIOR SISTEMA ENTAMBORADO U71, CON SISTEMA ALAMO PARA SUJECIÓN;   CHAPA TIPO BAÑO BOLA O MANIJA  (YALE, INALE,VERA), 2 MANIJAS BARRA TUBULAR 3*1 LS, FIJACION A CUATRO BISAGRAS . MONTANTE EN PERSIANA FIJA ALN 315 CADA 0.05 MTS. DIMENSIONES TOTALES 0.80 MTS X 2.80 MTS   -MPAA 10-</t>
  </si>
  <si>
    <t>1.11</t>
  </si>
  <si>
    <t>CONSTRUCCION, SUMINISTRO E INSTALACION DE PUERTA DOS NAVES Y MARCO EN ALUMINIO: MARCO EN CANAL CA 3"X1"; NAVE DE PUERTA EN TUBULAR T103,CUERPO SUPERIOR EN VIDRIO CRISTAL 4 mm, CON SISTEMA ALAMO PARA SUJECIÓN DE VIDRIO; CUERPO INFERIOR EN SISTEMA ENTAMBORADO U71,  CHAPA CON CERROJO DE SEGURIDAD (YALE, INALE,VERA), 2 MANIJAS BARRA TUBULAR 3*1 LS, FIJACION A CUATRO BISAGRAS . MONTANTE EN PERSIANA FIJA ALN 315 CADA 0.05 MTS. FALLEBAS. DIMENSIONES TOTALES 2.41 MTS X 2.90 MTS    -MPVA 11-</t>
  </si>
  <si>
    <t>1.12</t>
  </si>
  <si>
    <t>CONSTRUCCION, SUMINISTRO E INSTALACION DE PUERTA DOS NAVES Y MARCO EN ALUMINIO: MARCO EN CANAL CA 3"X1"; NAVE DE PUERTA EN TUBULAR T103,CUERPO SUPERIOR EN VIDRIO CRISTAL 4 mm, CON SISTEMA ALAMO PARA SUJECIÓN DE VIDRIO; CUERPO INFERIOR EN SISTEMA ENTAMBORADO U71,  CHAPA CON CERROJO DE SEGURIDAD (YALE, INALE,VERA), 2 MANIJAS BARRA TUBULAR 3*1 LS, FIJACION A CUATRO BISAGRAS . MONTANTE EN PERSIANA FIJA ALN 315 CADA 0.05 MTS. PARA LAS 2 NAVES, FALLEBAS. DIMENSIONES TOTALES 1.57 MTS X 2.90 MTS    -MPVA 12-</t>
  </si>
  <si>
    <t>1.13</t>
  </si>
  <si>
    <t>PUERTA VENTANA EN ALUMINIO/VIDRIO,SISTEMA PUERTAS CORREDIZAS 8025, PUERTAS CORREDIZAS, VIDRIO CRISTAL 5mm, CHAPA PICO DE LORO ENTERA (VERA) ; CUERPOS CENTRAL FIJO EN SISTEMA 3*1 LS CON SISTEMA ALAMO PARA FIJACIÓN DE VIDRIO; MONTANTE EN TUBULAR 3*1 LS, PERSIANA ALN 315 CADA 0.05 MTS. DIMENSION TOTAL 7.00 MTS X 3.05 MTS   -PVVA 13-</t>
  </si>
  <si>
    <t>1.14</t>
  </si>
  <si>
    <t>CONSTRUCCION,SUMINISTRO E INSTALACION DE PUERTA VENTANA EN ALUMINIO/VIDRIO,SISTEMA PUERTAS CORREDIZAS 8025,  PUERTAS CORREDIZAS, VIDRIO CRISTAL 5mm, CHAPA PICO DE LORO ENTERA (VERA) ;  MONTANTE EN TUBULAR 3*1 LS, PERSIANA ALN 315 CADA 0.05 MTS. DIMENSION TOTAL 3.20 MTS X 3.05 MTS   -PVVA 14-</t>
  </si>
  <si>
    <t>1.15</t>
  </si>
  <si>
    <t>CONSTRUCCION, SUMINISTRO E INSTALACION DE PERSIANA FIJA EN ALUMINIO, MARCO EN CANAL 3"X1" LISO, DOS DIVISORES 3*1 LS, PERSIANA EN ALN 315 CADA 0.05 MTS. DIMENSION TOTAL 0.72 MTS X 2.23 MTS   -PER 15-</t>
  </si>
  <si>
    <t>1.16</t>
  </si>
  <si>
    <t>CONSTRUCCION, SUMINISTRO E INSTALACION DE PERSIANA FIJA EN ALUMINIO, MARCO EN CANAL 3"X1" LISO, PERSIANA EN ALN 315 CADA 0.05 MTS. INCLUYE 3 PARALES DIVISORES 3*1 LS; DIMENSION TOTAL 2.27 MTS X 0.80 MTS   -PER 16</t>
  </si>
  <si>
    <t>1.17</t>
  </si>
  <si>
    <t xml:space="preserve">CONSTRUCCION,SUMINISTRO E INSTALACION DE VENTANA FIJA EN ALUMINIO/VIDRIO, CUATRO CUERPOS; CANAL LISO 3"x1",TUBULAR 3*1 LS, SISTEMA ALAMO PARA FIJACION DE VIDRIO; MONTANTE EN PERSIANA FIJA ALN 315 CADA 0.05 MTS. DIMENSIONES TOTALES 3.77 MTS X 2.90 MTS.   -VVA 17-  </t>
  </si>
  <si>
    <t>1.18</t>
  </si>
  <si>
    <t>CONSTRUCCION, SUMINISTRO E INSTALACION DE PERSIANA FIJA EN ALUMINIO, MARCO EN CANAL 3"X1" LISO, PERSIANA EN ALN 315 CADA 0.05 MTS. INCLUYE 5 PARALES DIVISORES 3*1 LS ; DIMENSION TOTAL 3.4 MTS X 0.80 MTS   -PER 18</t>
  </si>
  <si>
    <t>1.19</t>
  </si>
  <si>
    <t xml:space="preserve">CONSTRUCCION, SUMINISTRO E INSTALACION DE VENTANA CORREDIZA PANORAMICA SISTEMA 8025,CUATRO NAVES, VIDRIO CRISTAL 4 mm,CUERPO FIJO INFERIOR EN CANAL 3"x1", LISO TUBULAR 3*1 LS, SISTEMA ALAMO PARA FIJACION DE VIDRIOS; MONTANTE EN PERSIANA FIJA ALN 315 CADA 0.05 MTS,TRES PARALES DIVISORIOS 3*1 LS; DIMENSIONES TOTALES 4.00 MTS X 2.10 MTS.   -VVAC 19-  </t>
  </si>
  <si>
    <t>CONSTRUCCION,SUMINISTRO E INSTALACION DE PUERTA VENTANA CORREDIZA SISTEMA 8025,VIDRIO 5mm, CUERPO INFERIOR EN SISTEMA F06; CHAPA PICO DE LORO ENTERA (VERA), MONTANTE EN PERSIANA ALN 315, TUBULAR 3*1 LS Y CANAL LISO 3"x1".DIMENSIONES TOTALES 4.56 MTS X 3.00 MTS   -PVVA 20-</t>
  </si>
  <si>
    <t>1.21</t>
  </si>
  <si>
    <t>CONSTRUCCION,SUMINISTRO E INSTALACION DE PUERTA VENTANA CORREDIZA SISTEMA 8025,VIDRIO 5mm, CUERPO INFERIOR EN SISTEMA F06; CHAPA PICO DE LORO ENTERA (VERA), MONTANTE EN PERSIANA ALN 315, TUBULAR 3*1 LS Y CANAL LISO 3"x1".DIMENSIONES TOTALES 3.22 MTS X 3.00 MTS   -PVVA 21-</t>
  </si>
  <si>
    <t>1.22</t>
  </si>
  <si>
    <t>CONSTRUCCION,SUMINISTRO E INSTALACION DE PUERTA VENTANA CORREDIZA SISTEMA 8025,VIDRIO 5mm, CUERPO INFERIOR EN SISTEMA F06; CHAPA PICO DE LORO ENTERA (VERA), MONTANTE EN PERSIANA ALN 315, TUBULAR 3*1 LS Y CANAL LISO 3"x1".DIMENSIONES TOTALES 3.18 MTS X 3.00 MTS   -PVVA 22-</t>
  </si>
  <si>
    <t>1.23</t>
  </si>
  <si>
    <t>CONSTRUCCION,SUMINISTRO E INSTALACION DE PUERTA  DOS NAVES EN T103,, MARCO EN CANAL 3"x1" LISO, SISTEMA ALAMO PARA FIJACION DE VIDRIO 4 mm, CHAPA PICO DE LORO ENTERA (VERA), MONTANTE EN VIDRIO 4 mm , TUBULAR 3*1 LS Y CANAL LISO 3"x1". DOS CUERPOS LATERALES FIJOS EN VIDRIO. DIMENSIONES TOTALES 3.00 MTS X 3.00 MTS   -PVVA 23-</t>
  </si>
  <si>
    <t>1.24</t>
  </si>
  <si>
    <t>CONSTRUCCION,SUMINISTRO E INSTALACION DE PUERTA VENTANA CORREDIZA SISTEMA 8025,VIDRIO 5mm, CUERPO INFERIOR EN SISTEMA F06; CHAPA DUMMING MEDIO LADO, MONTANTE EN PERSIANA ALN 315, TUBULAR 3*1 LS Y CANAL LISO 3"x1".DIMENSIONES TOTALES 2.41 MTS X 3.00 MTS   -PVVA 22-</t>
  </si>
  <si>
    <t>1.25</t>
  </si>
  <si>
    <t>CONSTRUCCION, SUMINISTRO E INSTALACION DE PERSIANA FIJA EN ALUMINIO, MARCO EN CANAL 3"X1" LISO, PERSIANA EN ALN 315 CADA 0.05 MTS. INCLUYE 1 PARAL DIVISOR 3*1 LS; DIMENSION TOTAL 1.00 MTS X 0.60 MTS   -PER 25</t>
  </si>
  <si>
    <t>1.26</t>
  </si>
  <si>
    <t>CONSTRUCCION, SUMINISTRO E INSTALACION DE PUERTA CUATRO NAVES Y MARCO EN ALUMINIO, CUERPPOS CENTRAL Y LATERALES FIJOS; MARCO EN CANAL LISO 3"X1"; NAVES DE PUERTAS EN TUBULAR T103,CUERPO SUPERIOR EN VIDRIO CRISTAL 4 mm, CON SISTEMA ALAMO PARA SUJECIÓN DE VIDRIO; CUERPO INFERIOR EN SISTEMA ENTAMBORADO U71,  2 CHAPAS CON CERROJO DE SEGURIDAD (YALE, INALE,VERA), 2 MANIJAS POR CADA NAVE EN BARRA TUBULAR3*1 LS FIJACION A CINCO BISAGRAS . MONTANTE EN PERSIANA FIJA ALN 315 CADA 0.05 MTS. PARA LAS 4 NAVES, FALLEBAS. DIMENSIONES TOTALES 5.27 MTS X 3.00 MTS    -PVVA 26-</t>
  </si>
  <si>
    <t>1.27</t>
  </si>
  <si>
    <t>CONSTRUCCION, SUMINISTRO E INSTALACION DE PERSIANA FIJA EN ALUMINIO, MARCO EN CANAL 3"X1" LISO, PERSIANA EN ALN 315 CADA 0.05 MTS. INCLUYE 4 PARALES DIVISORES 3*1 LS; DIMENSION TOTAL 3.10 MTS X 0.50 MTS   -PER 27-</t>
  </si>
  <si>
    <t>1.28</t>
  </si>
  <si>
    <t>CONSTRUCCION, SUMINISTRO E INSTALACION DE PERSIANA FIJA EN ALUMINIO, MARCO EN CANAL 3"X1" LISO, PERSIANA EN ALN 315 CADA 0.05 MTS. INCLUYE 4 PARALES DIVISORES 3*1 LS; DIMENSION TOTAL 2.90 MTS X 0.60 MTS   -PER 28-</t>
  </si>
  <si>
    <t>1.29</t>
  </si>
  <si>
    <t xml:space="preserve">CONSTRUCCION, SUMINISTRO E INSTALACION DE VENTANA CORREDIZA PANORAMICA SISTEMA 8025,CUATRO NAVES, VIDRIO CRISTAL 4 mm,,;DIMENSIONES TOTALES 3.30 MTS X 1.00 MTS.   -VVAC 29-  </t>
  </si>
  <si>
    <t>1.30</t>
  </si>
  <si>
    <t xml:space="preserve">CONSTRUCCION, SUMINISTRO E INSTALACION DE VENTANA CORREDIZA PANORAMICA SISTEMA 8025, DOS NAVES, VIDRIO CRISTAL 4 mm,, ;DIMENSIONES TOTALES 1.62 MTS X 1.00 MTS.   -VVAC 30- </t>
  </si>
  <si>
    <t>1.31</t>
  </si>
  <si>
    <t>CONSTRUCCION, SUMINISTRO E INSTALACION DE PUERTA DOS NAVES Y MARCO EN ALUMINIO: MARCO EN CANAL CA  3"X1"; NAVE DE PUERTA EN TUBULAR T103,CUERPO SUPERIOR EN VIDRIO CRISTAL 4 mm, CON SISTEMA ALAMO PARA SUJECIÓN DE VIDRIO; CUERPO INFERIOR EN SISTEMA ENTAMBORADO U71,  CHAPA CON CERROJO DE SEGURIDAD (YALE, INALE,VERA), 2 MANIJAS BARRA TUBULAR LONGITUD 0.15 MTS, FIJACION A CUATRO BISAGRAS . MONTANTE EN PERSIANA FIJA ALN 315 CADA 0.05 MTS.  PARA LAS 2 NAVES, FALLEBAS. DIMENSIONES TOTALES 2.00 MTS X 2.90 MTS    -MPVA 31-</t>
  </si>
  <si>
    <t>1.32</t>
  </si>
  <si>
    <t xml:space="preserve">CONSTRUCCION, SUMINISTRO E INSTALACION DE VENTANA CORREDIZA  SISTEMA 8025,DOS NAVES, VIDRIO CRISTAL 4 mm,CUERPO FIJO INFERIOR EN CANAL 3"x1", LISO TUBULAR 3*1 LS, SISTEMA ALAMO PARA FIJACION DE VIDRIOS; MONTANTE EN PERSIANA FIJA ALN 315 CADA 0.05 MTS,UN PARAL DIVISORIO; DIMENSIONES TOTALES 1.50 MTS X 2.10 MTS.   -VVAC 32-  </t>
  </si>
  <si>
    <t>1.33</t>
  </si>
  <si>
    <t>CONSTRUCCION, SUMINISTRO E INSTALACION DE VENTANA EN CANAL 3"X1" CA, DIVISOR EN TUBULAR 3"X1",  MONTANTE EN PERSIANA FIJA ALN 315 CADA 0.05 MTS,CUERPO INFERIOR FIJO EN VIDRIO 4 mm CON SISTEMA ALAMO PARA FIJACION DE VIDRIO, CUERPO MOVIL EN SISTEMA PROYECTANTE CON BRAZO, VIDRIO 4 mm, DIMENSIONES TOTALES 0.60 MTS X 2.60 MTS.   -VP 33-</t>
  </si>
  <si>
    <t>1.34</t>
  </si>
  <si>
    <t xml:space="preserve">CONSTRUCCION, SUMINISTRO E INSTALACION DE VENTANA CORREDIZA  SISTEMA 8025,DOS NAVES, VIDRIO CRISTAL 4 mm,CUERPO FIJO INFERIOR EN CANAL 3"x1", LISO TUBULAR 3*1 LS, SISTEMA ALAMO PARA FIJACION DE VIDRIOS; MONTANTE EN PERSIANA FIJA ALN 315 CADA 0.05 MTS,UN PARAL DIVISORIO; DIMENSIONES TOTALES 1.40 MTS X 2.10 MTS.   -VVAC 34-  </t>
  </si>
  <si>
    <t>1.35</t>
  </si>
  <si>
    <t>CONSTRUCCION, SUMINISTRO E INSTALACION DE PUERTA Y MARCO EN ALUMINIO: MARCO EN CANAL CA 3"X1"; NAVE DE PUERTA EN TUBULAR T103,CUERPO SUPERIOR EN VIDRIO CRISTAL 4 mm, CON SISTEMA ALAMO PARA SUJECIÓN DE VIDRIO; CUERPO INFERIOR EN SISTEMA ENTAMBORADO U71,  CHAPA CON CERROJO DE SEGURIDAD (YALE, INALE,VERA), 2 MANIJAS BARRA TUBULAR 3*1 LS, FIJACION A CUATRO BISAGRAS . MONTANTE EN PERSIANA FIJA ALN 315 CADA 0.05 MTS. DIMENSIONES TOTALES 1.00 MTS X 2.50 MTS    -MPVA 35-</t>
  </si>
  <si>
    <t>1.36</t>
  </si>
  <si>
    <t>CONSTRUCCION, SUMINISTRO E INSTALACION DE VENTANA EN CANAL 3"X1" CA , DIVISOR EN TUBULAR 3"X1",  MONTANTE EN PERSIANA FIJA ALN 315 CADA 0.05 MTS,CUERPO INFERIOR FIJO EN VIDRIO 4 mm CON SISTEMA ALAMO PARA FIJACION DE VIDRIO, CUERPO MOVIL EN SISTEMA PROYECTANTE , VIDRIO 4 mm, DIMENSIONES TOTALES 0.44 MTS X 2.50 MTS.   -VP 36-</t>
  </si>
  <si>
    <t>1.37</t>
  </si>
  <si>
    <t>CONSTRUCCION, SUMINISTRO E INSTALACION DE PUERTA DOS NAVES Y MARCO EN ALUMINIO: MARCO EN CANAL CA 3"X1"; NAVE DE PUERTA EN TUBULAR 3*1 LS,CUERPO SUPERIOR EN VIDRIO CRISTAL 4 mm, CON SISTEMA ALAMO PARA SUJECIÓN DE VIDRIO; CUERPO INFERIOR EN SISTEMA ENTAMBORADO U71,  CHAPA CON CERROJO DE SEGURIDAD (YALE, INALE,VERA), 2 MANIJAS BARRA TUBULAR LONGITUD 0.15 MTS, FIJACION A CUATRO BISAGRAS . MONTANTE EN PERSIANA FIJA ALN 315 CADA 0.05 MTS. , FALLEBAS. DIMENSIONES TOTALES 2.00 MTS X 3.00 MTS    -MPVA 37-</t>
  </si>
  <si>
    <t>1.38</t>
  </si>
  <si>
    <t>CONSTRUCCION,SUMINISTRO E INSTALACION DE PUERTA VENTANA CORREDIZA SISTEMA 8025,VIDRIO 5mm, CUERPO INFERIOR EN SISTEMA F06; CHAPA PICO DE LORO ENTERA (VERA), MONTANTE EN PERSIANA ALN 315, TUBULAR T103 Y CANAL LISO 3"x1".DIMENSIONES TOTALES 5.18 MTS X 3.00 MTS   -PVVA 38-</t>
  </si>
  <si>
    <t>1.39</t>
  </si>
  <si>
    <t>CONSTRUCCION,SUMINISTRO E INSTALACION DE PUERTA  DOS NAVES EN T103,, MARCO EN CANAL 3"x1" LISO, SISTEMA ALAMO PARA FIJACION DE VIDRIO 4 mm, CHAPA PICO DE LORO ENTERA (VERA), MONTANTE EN VIDRIO 4 mm , TUBULAR T103 Y CANAL LISO 3"x1". DOS CUERPPOS LATERALES FIJOS EN VIDRIO. DIMENSIONES TOTALES 3.00 MTS X 3.00 MTS   -PVVA 39-</t>
  </si>
  <si>
    <t>1.40</t>
  </si>
  <si>
    <t>CONSTRUCCION, SUMINISTRO E INSTALACION DE PUERTA DOS NAVES Y MARCO EN ALUMINIO: MARCO EN CANAL CA  3"X1"; NAVE DE PUERTA EN TUBULAR T103,CUERPO SUPERIOR EN VIDRIO CRISTAL 4 mm, CON SISTEMA ALAMO PARA SUJECIÓN DE VIDRIO; CUERPO INFERIOR EN SISTEMA ENTAMBORADO U71,  CHAPA CON CERROJO DE SEGURIDAD (YALE, INALE,VERA), 2 MANIJAS BARRA TUBULAR LONGITUD 3*1 LS, FIJACION A CUATRO BISAGRAS ;INCLUYE DOS CUERPOS FIJOS LATERALES DE ANCHO 0.50 MTS C/U, MONTANTE EN PERSIANA FIJA ALN 315 CADA 0.05 MTS. , FALLEBAS. DIMENSIONES TOTALES 2.470 MTS X 3.00 MTS    -MPVA 40-</t>
  </si>
  <si>
    <t>1.41</t>
  </si>
  <si>
    <t>CONSTRUCCION,SUMINISTRO E INSTALACION DE PUERTA VENTANA CORREDIZA SISTEMA 8025,VIDRIO 5mm, CUERPO INFERIOR EN SISTEMA F06; CHAPA PICO DE LORO ENTERA (VERA), MONTANTE EN PERSIANA ALN 315, TUBULAR T103 Y CANAL LS 3"x1".DIMENSIONES TOTALES 3.58 MTS X 3.00 MTS   -PVVA 41-</t>
  </si>
  <si>
    <t>1.42</t>
  </si>
  <si>
    <t>CONSTRUCCION, SUMINISTRO E INSTALACION DE PUERTA DOS NAVES Y MARCO EN ALUMINIO: MARCO EN CANAL CA  3"X1"; NAVE DE PUERTA EN TUBULAR T103,CUERPO SUPERIOR EN VIDRIO CRISTAL 4 mm, CON SISTEMA ALAMO PARA SUJECIÓN DE VIDRIO; CUERPO INFERIOR EN SISTEMA ENTAMBORADO U71,  CHAPA CON CERROJO DE SEGURIDAD (YALE, INALE,VERA), 2 MANIJAS BARRA TUBULAR LONGITUD 0.15 MTS, FIJACION A CUATRO BISAGRAS ;INCLUYE DOS CUERPOS FIJOS LATERALES DE ANCHO 0.50 MTS C/U, MONTANTE EN PERSIANA FIJA ALN 315 CADA 0.05 MTS. , FALLEBAS. DIMENSIONES TOTALES 2.50 MTS X 3.00 MTS    -MPVA 42-</t>
  </si>
  <si>
    <t>1.43</t>
  </si>
  <si>
    <t>CONSTRUCCION, SUMINISTRO E INSTALACION DE PUERTA DOS NAVES Y MARCO EN ALUMINIO: MARCO EN CANAL CA 3"X1"; NAVE DE PUERTA EN TUBULAR T103,CUERPO SUPERIOR EN VIDRIO CRISTAL 4 mm, CON SISTEMA ALAMO PARA SUJECIÓN DE VIDRIO; CUERPO INFERIOR EN SISTEMA ENTAMBORADO U71,  CHAPA CON CERROJO DE SEGURIDAD (YALE, INALE,VERA), 2 MANIJAS BARRA TUBULAR LONGITUD 0.15 MTS, FIJACION A CUATRO BISAGRAS . MONTANTE EN PERSIANA FIJA ALN 315 CADA 0.05 MTS. , FALLEBAS. DIMENSIONES TOTALES 2.07 MTS X 2.95 MTS    -MPVA 43-</t>
  </si>
  <si>
    <t>UN</t>
  </si>
  <si>
    <t>1.44</t>
  </si>
  <si>
    <t>CONSTRUCCION, SUMINISTRO E INSTALACION DE PERSIANA FIJA EN ALUMINIO, MARCO EN CANAL 3"X1" LISO, PERSIANA EN ALN 315 CADA 0.05 MTS. INCLUYE 2 DIVISORES 3*1 LS; DIMENSION TOTAL 0.60 MTS X 2.60 MTS   -PER 44-</t>
  </si>
  <si>
    <t>1.45</t>
  </si>
  <si>
    <t>CONSTRUCCION,SUMINISTRO E INSTALACION DE PUERTA VENTANA CORREDIZA SISTEMA 8025,VIDRIO 5mm, CUERPO INFERIOR EN SISTEMA F06; CHAPA DUMMING MEDIO LADO, MONTANTE EN PERSIANA ALN 315, TUBULAR 3*1 LS Y CANAL LISO 3"x1".DIMENSIONES TOTALES 2.00 MTS X 2.95 MTS   -PVVA 45-</t>
  </si>
  <si>
    <t>1.46</t>
  </si>
  <si>
    <t>CONSTRUCCION, SUMINISTRO E INSTALACION DE PUERTA Y MARCO EN ALUMINIO: MARCO EN CANAL CA 3"X1"; NAVE DE PUERTA EN TUBULAR T103,CUERPO SUPERIOR EN VIDRIO CRISTAL 4 mm, CON SISTEMA ALAMO PARA SUJECIÓN DE VIDRIO; CUERPO INFERIOR EN SISTEMA ENTAMBORADO U71,  CHAPA CON CERROJO DE SEGURIDAD (YALE, INALE,VERA), 2 MANIJAS BARRA TUBULAR LONGITUD3*1 LS FIJACION A CUATRO BISAGRAS . CUERPO LATERAL FIJO EN VIDRIO,MONTANTE EN PERSIANA FIJA ALN 315 CADA 0.05 MTS. DIMENSIONES TOTALES 1.25 MTS X 2.95 MTS    -MPVA 46-</t>
  </si>
  <si>
    <t>1.47</t>
  </si>
  <si>
    <t>CONSTRUCCION, SUMINISTRO E INSTALACION DE PERSIANA FIJA EN ALUMINIO, MARCO EN CANAL 3"X1" LISO, PERSIANA EN ALN 315 CADA 0.05 MTS. INCLUYE 2 DIVISORES3*1 LS ; DIMENSION TOTAL 1.65 MTS X 0.77 MTS   -PER 47-</t>
  </si>
  <si>
    <t>1.48</t>
  </si>
  <si>
    <t>CONSTRUCCION, SUMINISTRO E INSTALACION DE PERSIANA FIJA EN ALUMINIO, MARCO EN CANAL 3"X1" LISO, PERSIANA EN ALN 315 CADA 0.05 MTS. INCLUYE 7 DIVISORES 3*1 LS ; DIMENSION TOTAL 3.80 MTS X 1.20 MTS   -PER 48-</t>
  </si>
  <si>
    <t>1.49</t>
  </si>
  <si>
    <t>CONSTRUCCION, SUMINISTRO E INSTALACION DE PERSIANA FIJA EN ALUMINIO, MARCO EN CANAL 3"X1" LISO, PERSIANA EN ALN 315 CADA 0.05 MTS. INCLUYE 10 DIVISORES 3*1 LS; DIMENSION TOTAL 5.40 MTS X 0.1.20 MTS   -PER 49-</t>
  </si>
  <si>
    <t>1.50</t>
  </si>
  <si>
    <t>CONSTRUCCION, SUMINISTRO E INSTALACION DE PERSIANA FIJA EN ALUMINIO, MARCO EN CANAL 3"X1" LISO, PERSIANA EN ALN 315 CADA 0.05 MTS. INCLUYE 5 DIVISORES 3*1 LS; DIMENSION TOTAL 3.30 MTS X 1.20 MTS   -PER 50-</t>
  </si>
  <si>
    <t>1.51</t>
  </si>
  <si>
    <t xml:space="preserve">SUMINTRO E INSTALACION DE CUERPO FIJO EN TUBULAR T103 SISTEMA PROYECTANTE CON VIDRIO LAMINADO 3+3 DE 12 DE ALTURA * 1,50 ANCHO INCLUYE ACCESORIOS </t>
  </si>
  <si>
    <t>OBJETO: CONSTRUCCION, SUMINISTRO E INSTALACION DE CARPINTERIA EN ALUMINIO  ETAPA 2 EDIFICIO FACULTAD DE CIENCIAS HUMANAS Y SOCIALES DE LA UNIVERSIDAD DEL CAUCA PRESUPUESTO DE OBRA.</t>
  </si>
  <si>
    <r>
      <t xml:space="preserve">Item 1.8
VrUnit. Ofertado </t>
    </r>
    <r>
      <rPr>
        <b/>
        <sz val="12"/>
        <rFont val="Calibri"/>
        <family val="2"/>
      </rPr>
      <t>≥</t>
    </r>
    <r>
      <rPr>
        <b/>
        <sz val="12"/>
        <rFont val="Arial Narrow"/>
        <family val="2"/>
      </rPr>
      <t xml:space="preserve"> VrUnit. Oficial</t>
    </r>
  </si>
  <si>
    <t>VERIFICACIÓN REQUISITOS TECNICOS HABILITANTES</t>
  </si>
  <si>
    <t>VR. PROPUESTA CORREGIDA</t>
  </si>
  <si>
    <t>PUNTAJE VR. PROPUESTA</t>
  </si>
  <si>
    <t>PUNTAJE PERS. REQUER.</t>
  </si>
  <si>
    <t>PO</t>
  </si>
  <si>
    <t>FORMULA</t>
  </si>
  <si>
    <t>MEDIA</t>
  </si>
  <si>
    <t>Of.validas</t>
  </si>
  <si>
    <t># PO</t>
  </si>
  <si>
    <t>TRM</t>
  </si>
  <si>
    <t>Decimales</t>
  </si>
  <si>
    <t>06</t>
  </si>
  <si>
    <t>UT</t>
  </si>
  <si>
    <t>NO HABIL JURIDICAMENTE</t>
  </si>
  <si>
    <t xml:space="preserve">INFORME DE EVALUACIÓN DE OFERTAS </t>
  </si>
  <si>
    <t>VERIFICACIÓN REQUISITOS JURIDICOS HABILITANTES</t>
  </si>
  <si>
    <t>OBJETO:CONSTRUCCIÓN, SUMINISTRO E INSTALACIÓN DE CARPINTERÍA EN ALUMINIO Y ACERO INOXIDABLE ETAPA II FACULTAD DE CIENCIAS HUMANAS Y SOCIALES DE LA UNIVERSIDAD DEL CAUCA, LOCALIZADO EN LA CALLE 5 NO. 3-58/76 DE LA CIUDAD DE POPAYÁN.</t>
  </si>
  <si>
    <t>OBSERVACION</t>
  </si>
  <si>
    <t>REQUISITOS DE CAPACIDAD JURIDICA</t>
  </si>
  <si>
    <t>CARTA DE PRESENTACIÓN</t>
  </si>
  <si>
    <t>MODIFICA LA CARTA DE PRESENTACION</t>
  </si>
  <si>
    <t>GARANTÍA DE SERIEDAD DE LA PROPUESTA</t>
  </si>
  <si>
    <t>CONFIANZA, NO. CU042181</t>
  </si>
  <si>
    <t xml:space="preserve">SI </t>
  </si>
  <si>
    <t>CONFIANZA, NO. CU042179</t>
  </si>
  <si>
    <t>ASEGURADORA SOLIDARIA DE COLOMBIA · 435-45-994000008354</t>
  </si>
  <si>
    <t>CONFIANZA · CU-042199</t>
  </si>
  <si>
    <t>CONFIANZA CU042206</t>
  </si>
  <si>
    <t>ASEGURADORA SOLIDARIA 435-45-994000008351</t>
  </si>
  <si>
    <t>CONFIANZA CU 024195</t>
  </si>
  <si>
    <t>CONFIANZA CU 042190</t>
  </si>
  <si>
    <t>CONFIANZA CU 042215</t>
  </si>
  <si>
    <t>CONFIANZA CU 042213</t>
  </si>
  <si>
    <t>EXISTENCIA Y CAPACIDAD LEGAL (COPIA CEDULA DE CIUDADANIA/PERSONA NATURAL - CERTIFICADO DE EXISTENCIA Y REPRESENTACION LEGAL/PERSONA JURIDICA)</t>
  </si>
  <si>
    <t>AUTORIZACIÓN PARA PRESENTAR LA OFERTA</t>
  </si>
  <si>
    <t>NA</t>
  </si>
  <si>
    <t>COPNIA</t>
  </si>
  <si>
    <t>ANEXO C, DOCUMENTO DE CONFORMACIÓN DE CONSORCIO</t>
  </si>
  <si>
    <t>N.A.</t>
  </si>
  <si>
    <t>MATRIZ DE RIESGOS</t>
  </si>
  <si>
    <t>.</t>
  </si>
  <si>
    <r>
      <t xml:space="preserve">CERTIFICADO DE INSCRIPCIÓN EN EL REGISTRO ÚNICO DE PROPONENTES, CON FECHA DE EXPEDICIÓN NO MAYOR A 1 MES. </t>
    </r>
    <r>
      <rPr>
        <b/>
        <sz val="12"/>
        <rFont val="Arial Narrow"/>
        <family val="2"/>
      </rPr>
      <t xml:space="preserve"> </t>
    </r>
  </si>
  <si>
    <t>PERSONAL MINIMO REQUERIDO (DIRECTOR DE OBRA, RESIDENTE DE OBRA, MAESTRO DE OBRA)</t>
  </si>
  <si>
    <t>CERTIFICACIÓN DEL PAGO DE PARAFISCALES Y APORTES AL SISTEMA DE SEGURIDAD SOCIAL.</t>
  </si>
  <si>
    <t>COMPROMISO DE TRANSPARENCIA ANEXO J</t>
  </si>
  <si>
    <t>CERTIFICADO SOBRE ANTECEDENTES DE RESONSABILIDAD FISCAL</t>
  </si>
  <si>
    <t>76333572 - 76316092</t>
  </si>
  <si>
    <t>10753700 - 71219576</t>
  </si>
  <si>
    <t>4611917 - 79943532</t>
  </si>
  <si>
    <t>CERTIFICADO SOBRE ANTECEDENTES DISCIPLINARIOS</t>
  </si>
  <si>
    <t xml:space="preserve">CERTIFICACIÓN SOBRE ANTECEDENTES JUDICIALES </t>
  </si>
  <si>
    <t xml:space="preserve">NIT. O REGISTRO ÚNICO TRIBUTARIO DEL OFERENTE </t>
  </si>
  <si>
    <t>PAZ Y SALVO UNIVERSITARIO</t>
  </si>
  <si>
    <t xml:space="preserve">CARTA DE ACEPTACIÓN DEL PRESUPUESTO OFICIAL </t>
  </si>
  <si>
    <t>LYDA CRISTINA PAZ BURBANO</t>
  </si>
  <si>
    <t>Coordinadora Grupo de Apoyo Jurídica</t>
  </si>
  <si>
    <t xml:space="preserve">COMITÉ FINANCIERO ASESOR </t>
  </si>
  <si>
    <t xml:space="preserve">VERIFICACIÓN REQUISITOS FINANCIEROS - PROPONENTES </t>
  </si>
  <si>
    <t>REQUISITOS DE CAPACIDAD FINANCIERA</t>
  </si>
  <si>
    <t>CAPITAL DE TRABAJO &gt;= 100%PO
PO= $ 354.643.712</t>
  </si>
  <si>
    <t>NINGUNA</t>
  </si>
  <si>
    <t>ÍNDICE DE LIQUIDEZ &gt;= 1,2</t>
  </si>
  <si>
    <t>NIVEL DE ENDEUDAMIENTO &lt;= 60%</t>
  </si>
  <si>
    <t>RAZÓN DE COBERTURA DE INTERESES &gt;= 1</t>
  </si>
  <si>
    <t>RENTABILIDAD SOBRE PATRIMONIO &gt; 0.03</t>
  </si>
  <si>
    <t>RENTABILIDAD SOBRE ACTIVOS &gt; 0.01</t>
  </si>
  <si>
    <t>JOSE REYMIR OJEDA OJEDA</t>
  </si>
  <si>
    <t xml:space="preserve">El plazo de ejecución de la obra se constituye en un requisito sustancial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</si>
</sst>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 #,##0_);[Red]\(&quot;$&quot;\ #,##0\)"/>
    <numFmt numFmtId="164" formatCode="_-&quot;$&quot;* #,##0_-;\-&quot;$&quot;* #,##0_-;_-&quot;$&quot;* &quot;-&quot;_-;_-@_-"/>
    <numFmt numFmtId="165" formatCode="_-* #,##0_-;\-* #,##0_-;_-* &quot;-&quot;_-;_-@_-"/>
    <numFmt numFmtId="166" formatCode="_-&quot;$&quot;* #,##0.00_-;\-&quot;$&quot;* #,##0.00_-;_-&quot;$&quot;* &quot;-&quot;??_-;_-@_-"/>
    <numFmt numFmtId="167" formatCode="_-* #,##0.00\ _€_-;\-* #,##0.00\ _€_-;_-* &quot;-&quot;??\ _€_-;_-@_-"/>
    <numFmt numFmtId="168" formatCode="_ * #,##0_ ;_ * \-#,##0_ ;_ * &quot;-&quot;??_ ;_ @_ "/>
    <numFmt numFmtId="169" formatCode="_ &quot;$&quot;\ * #,##0_ ;_ &quot;$&quot;\ * \-#,##0_ ;_ &quot;$&quot;\ * &quot;-&quot;_ ;_ @_ "/>
    <numFmt numFmtId="170" formatCode="&quot;$&quot;\ #,##0"/>
    <numFmt numFmtId="171" formatCode="_ &quot;$&quot;\ * #,##0.00_ ;_ &quot;$&quot;\ * \-#,##0.00_ ;_ &quot;$&quot;\ * &quot;-&quot;??_ ;_ @_ "/>
    <numFmt numFmtId="172" formatCode="&quot;$&quot;\ #,##0.00"/>
    <numFmt numFmtId="173" formatCode="0.0000%"/>
    <numFmt numFmtId="174" formatCode="_ * #,##0.00_ ;_ * \-#,##0.00_ ;_ * &quot;-&quot;??_ ;_ @_ "/>
    <numFmt numFmtId="175" formatCode="_-* #,##0\ _€_-;\-* #,##0\ _€_-;_-* &quot;-&quot;??\ _€_-;_-@_-"/>
    <numFmt numFmtId="176" formatCode="_-* #,##0_-;\-* #,##0_-;_-* &quot;-&quot;??_-;_-@_-"/>
    <numFmt numFmtId="177" formatCode="_-* #,##0.00_-;\-* #,##0.00_-;_-* &quot;-&quot;_-;_-@_-"/>
    <numFmt numFmtId="178" formatCode="0.0%"/>
    <numFmt numFmtId="179" formatCode="0.0000"/>
  </numFmts>
  <fonts count="35"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b/>
      <sz val="11"/>
      <color rgb="FFFFC000"/>
      <name val="Calibri"/>
      <family val="2"/>
      <scheme val="minor"/>
    </font>
    <font>
      <b/>
      <sz val="11"/>
      <name val="Calibri"/>
      <family val="2"/>
      <scheme val="minor"/>
    </font>
    <font>
      <sz val="12"/>
      <name val="Arial Narrow"/>
      <family val="2"/>
    </font>
    <font>
      <sz val="10"/>
      <name val="Arial Narrow"/>
      <family val="2"/>
    </font>
    <font>
      <b/>
      <sz val="12"/>
      <name val="Arial Black"/>
      <family val="2"/>
    </font>
    <font>
      <b/>
      <sz val="12"/>
      <name val="Arial Narrow"/>
      <family val="2"/>
    </font>
    <font>
      <b/>
      <sz val="11"/>
      <name val="Arial Black"/>
      <family val="2"/>
    </font>
    <font>
      <b/>
      <sz val="10"/>
      <name val="Arial Narrow"/>
      <family val="2"/>
    </font>
    <font>
      <b/>
      <sz val="10"/>
      <color rgb="FFFF0000"/>
      <name val="Arial Narrow"/>
      <family val="2"/>
    </font>
    <font>
      <b/>
      <sz val="11"/>
      <name val="Arial Narrow"/>
      <family val="2"/>
    </font>
    <font>
      <sz val="10"/>
      <color rgb="FFFF0000"/>
      <name val="Calibri"/>
      <family val="2"/>
      <scheme val="minor"/>
    </font>
    <font>
      <b/>
      <sz val="10"/>
      <name val="Arial Black"/>
      <family val="2"/>
    </font>
    <font>
      <sz val="10"/>
      <name val="Arial"/>
      <family val="2"/>
    </font>
    <font>
      <b/>
      <sz val="12"/>
      <name val="Calibri"/>
      <family val="2"/>
    </font>
    <font>
      <b/>
      <sz val="12"/>
      <color indexed="81"/>
      <name val="Tahoma"/>
      <family val="2"/>
    </font>
    <font>
      <sz val="12"/>
      <color indexed="81"/>
      <name val="Tahoma"/>
      <family val="2"/>
    </font>
    <font>
      <b/>
      <sz val="12"/>
      <color rgb="FF002060"/>
      <name val="Arial Narrow"/>
      <family val="2"/>
    </font>
    <font>
      <sz val="11"/>
      <name val="Arial Narrow"/>
      <family val="2"/>
    </font>
    <font>
      <sz val="10"/>
      <color rgb="FFFF0000"/>
      <name val="Arial Narrow"/>
      <family val="2"/>
    </font>
  </fonts>
  <fills count="10">
    <fill>
      <patternFill patternType="none"/>
    </fill>
    <fill>
      <patternFill patternType="gray125"/>
    </fill>
    <fill>
      <patternFill patternType="solid">
        <fgColor rgb="FFFFFF00"/>
        <bgColor indexed="64"/>
      </patternFill>
    </fill>
    <fill>
      <patternFill patternType="solid">
        <fgColor rgb="FF00206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17">
    <xf numFmtId="0" fontId="0" fillId="0" borderId="0"/>
    <xf numFmtId="167"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1"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4" fontId="2" fillId="0" borderId="0" applyFont="0" applyFill="0" applyBorder="0" applyAlignment="0" applyProtection="0"/>
    <xf numFmtId="165" fontId="1" fillId="0" borderId="0" applyFont="0" applyFill="0" applyBorder="0" applyAlignment="0" applyProtection="0"/>
    <xf numFmtId="0" fontId="28" fillId="0" borderId="0"/>
    <xf numFmtId="0" fontId="2" fillId="0" borderId="0"/>
  </cellStyleXfs>
  <cellXfs count="339">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164"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4"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6"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0" fontId="8" fillId="0" borderId="1" xfId="0" applyNumberFormat="1" applyFont="1" applyFill="1" applyBorder="1" applyAlignment="1">
      <alignment vertical="center"/>
    </xf>
    <xf numFmtId="170"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70"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70"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70"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70"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70"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70"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70"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70"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6"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1" xfId="0" applyFont="1" applyFill="1" applyBorder="1" applyAlignment="1">
      <alignment horizontal="center" vertical="center"/>
    </xf>
    <xf numFmtId="0" fontId="5" fillId="0" borderId="13" xfId="110" applyNumberFormat="1" applyFont="1" applyBorder="1" applyAlignment="1">
      <alignment horizontal="center" vertical="center"/>
    </xf>
    <xf numFmtId="0" fontId="8" fillId="0" borderId="14" xfId="0" applyFont="1" applyFill="1" applyBorder="1" applyAlignment="1">
      <alignment horizontal="center" vertical="center"/>
    </xf>
    <xf numFmtId="0" fontId="7" fillId="0" borderId="14" xfId="0" applyFont="1" applyFill="1" applyBorder="1" applyAlignment="1">
      <alignment vertical="center"/>
    </xf>
    <xf numFmtId="9" fontId="8" fillId="0" borderId="1" xfId="97" applyFont="1" applyFill="1" applyBorder="1" applyAlignment="1">
      <alignment vertical="center"/>
    </xf>
    <xf numFmtId="170" fontId="16" fillId="3" borderId="13" xfId="110" applyNumberFormat="1" applyFont="1" applyFill="1" applyBorder="1" applyAlignment="1">
      <alignment horizontal="right" vertical="center"/>
    </xf>
    <xf numFmtId="173" fontId="8" fillId="0" borderId="14" xfId="97" applyNumberFormat="1" applyFont="1" applyFill="1" applyBorder="1" applyAlignment="1">
      <alignment vertical="center"/>
    </xf>
    <xf numFmtId="0" fontId="5" fillId="0" borderId="13" xfId="110" applyFont="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4" borderId="1" xfId="0" applyFill="1" applyBorder="1" applyAlignment="1">
      <alignment horizontal="center"/>
    </xf>
    <xf numFmtId="0" fontId="0" fillId="0" borderId="0" xfId="0"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9" xfId="0" applyFont="1" applyBorder="1"/>
    <xf numFmtId="0" fontId="0" fillId="0" borderId="20" xfId="0" applyBorder="1"/>
    <xf numFmtId="0" fontId="0" fillId="0" borderId="21" xfId="0" applyBorder="1"/>
    <xf numFmtId="0" fontId="0" fillId="0" borderId="9" xfId="0" applyBorder="1"/>
    <xf numFmtId="0" fontId="2" fillId="2" borderId="21"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21" xfId="0" applyFont="1" applyBorder="1"/>
    <xf numFmtId="9" fontId="0" fillId="0" borderId="0" xfId="111" applyFont="1" applyBorder="1"/>
    <xf numFmtId="0" fontId="0" fillId="0" borderId="9" xfId="0" applyFill="1" applyBorder="1"/>
    <xf numFmtId="0" fontId="0" fillId="0" borderId="15" xfId="0" applyBorder="1"/>
    <xf numFmtId="0" fontId="0" fillId="0" borderId="12" xfId="0" applyBorder="1"/>
    <xf numFmtId="0" fontId="2" fillId="2" borderId="15" xfId="0" applyFont="1" applyFill="1" applyBorder="1" applyAlignment="1">
      <alignment horizontal="center" vertical="center"/>
    </xf>
    <xf numFmtId="3" fontId="0" fillId="5" borderId="10" xfId="0" applyNumberFormat="1" applyFill="1" applyBorder="1"/>
    <xf numFmtId="0" fontId="0" fillId="0" borderId="0" xfId="0" applyFill="1" applyBorder="1"/>
    <xf numFmtId="0" fontId="0" fillId="0" borderId="21" xfId="0" applyFill="1" applyBorder="1"/>
    <xf numFmtId="0" fontId="0" fillId="0" borderId="12" xfId="0" applyFill="1" applyBorder="1"/>
    <xf numFmtId="0" fontId="0" fillId="0" borderId="19" xfId="0" applyFill="1" applyBorder="1"/>
    <xf numFmtId="0" fontId="0" fillId="0" borderId="8" xfId="0" applyFill="1" applyBorder="1" applyAlignment="1">
      <alignment horizontal="center"/>
    </xf>
    <xf numFmtId="0" fontId="0" fillId="0" borderId="20" xfId="0" applyFill="1" applyBorder="1"/>
    <xf numFmtId="0" fontId="18" fillId="0" borderId="0" xfId="0" applyFont="1" applyFill="1" applyBorder="1"/>
    <xf numFmtId="168" fontId="0" fillId="0" borderId="0" xfId="1" applyNumberFormat="1" applyFont="1" applyBorder="1" applyAlignment="1">
      <alignment horizontal="center"/>
    </xf>
    <xf numFmtId="168" fontId="18" fillId="0" borderId="0" xfId="1" applyNumberFormat="1" applyFont="1" applyFill="1" applyBorder="1" applyAlignment="1">
      <alignment horizontal="center"/>
    </xf>
    <xf numFmtId="168" fontId="2" fillId="0" borderId="0" xfId="1" applyNumberFormat="1" applyFont="1" applyBorder="1" applyAlignment="1">
      <alignment horizontal="center" vertical="center" wrapText="1"/>
    </xf>
    <xf numFmtId="168"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9" fillId="0" borderId="0" xfId="112" applyFont="1" applyFill="1" applyAlignment="1">
      <alignment vertical="center"/>
    </xf>
    <xf numFmtId="0" fontId="20" fillId="0" borderId="0" xfId="112" applyFont="1" applyFill="1" applyAlignment="1">
      <alignment vertical="center"/>
    </xf>
    <xf numFmtId="0" fontId="2" fillId="0" borderId="0" xfId="112" applyFont="1" applyFill="1" applyAlignment="1">
      <alignment vertical="center"/>
    </xf>
    <xf numFmtId="0" fontId="21" fillId="0" borderId="0" xfId="112" applyFont="1" applyFill="1" applyAlignment="1">
      <alignment vertical="center"/>
    </xf>
    <xf numFmtId="0" fontId="22"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9" fillId="0" borderId="0" xfId="112" applyFont="1" applyFill="1"/>
    <xf numFmtId="0" fontId="23" fillId="0" borderId="1" xfId="112" applyFont="1" applyFill="1" applyBorder="1" applyAlignment="1">
      <alignment horizontal="center" vertical="center"/>
    </xf>
    <xf numFmtId="0" fontId="23" fillId="0" borderId="1" xfId="112" applyFont="1" applyFill="1" applyBorder="1" applyAlignment="1">
      <alignment horizontal="center" vertical="center" wrapText="1"/>
    </xf>
    <xf numFmtId="0" fontId="23" fillId="0" borderId="4" xfId="112" applyFont="1" applyFill="1" applyBorder="1" applyAlignment="1">
      <alignment horizontal="center" vertical="center"/>
    </xf>
    <xf numFmtId="0" fontId="23" fillId="6" borderId="1" xfId="112" applyFont="1" applyFill="1" applyBorder="1" applyAlignment="1">
      <alignment horizontal="justify" vertical="center"/>
    </xf>
    <xf numFmtId="0" fontId="23" fillId="6" borderId="1" xfId="112" applyFont="1" applyFill="1" applyBorder="1" applyAlignment="1">
      <alignment horizontal="center" vertical="center" wrapText="1"/>
    </xf>
    <xf numFmtId="0" fontId="23" fillId="0" borderId="22" xfId="112" applyFont="1" applyFill="1" applyBorder="1" applyAlignment="1">
      <alignment horizontal="center" vertical="center"/>
    </xf>
    <xf numFmtId="0" fontId="23" fillId="6" borderId="1" xfId="112" applyFont="1" applyFill="1" applyBorder="1" applyAlignment="1">
      <alignment horizontal="left" vertical="center"/>
    </xf>
    <xf numFmtId="0" fontId="24" fillId="6" borderId="1" xfId="112" applyFont="1" applyFill="1" applyBorder="1" applyAlignment="1">
      <alignment horizontal="center" vertical="justify"/>
    </xf>
    <xf numFmtId="0" fontId="19" fillId="0" borderId="0" xfId="112" applyFont="1" applyBorder="1" applyAlignment="1">
      <alignment horizontal="justify" vertical="justify"/>
    </xf>
    <xf numFmtId="0" fontId="21" fillId="0" borderId="0" xfId="112" applyFont="1" applyFill="1" applyAlignment="1">
      <alignment horizontal="center" vertical="center"/>
    </xf>
    <xf numFmtId="0" fontId="19" fillId="0" borderId="0" xfId="112" applyFont="1" applyFill="1" applyAlignment="1">
      <alignment horizontal="center" vertical="center"/>
    </xf>
    <xf numFmtId="0" fontId="19" fillId="0" borderId="0" xfId="112" applyFont="1" applyFill="1" applyAlignment="1">
      <alignment horizontal="justify" vertical="justify"/>
    </xf>
    <xf numFmtId="0" fontId="23" fillId="0" borderId="0" xfId="112" applyFont="1" applyFill="1" applyAlignment="1">
      <alignment horizontal="justify" vertical="justify"/>
    </xf>
    <xf numFmtId="0" fontId="21" fillId="0" borderId="0" xfId="112" applyFont="1" applyFill="1" applyAlignment="1">
      <alignment horizontal="justify" vertical="justify"/>
    </xf>
    <xf numFmtId="0" fontId="21" fillId="0" borderId="0" xfId="112" applyFont="1" applyFill="1" applyBorder="1" applyAlignment="1">
      <alignment horizontal="left" vertical="top"/>
    </xf>
    <xf numFmtId="0" fontId="18" fillId="0" borderId="0" xfId="112" applyFont="1" applyFill="1"/>
    <xf numFmtId="0" fontId="18" fillId="0" borderId="0" xfId="112" applyFont="1" applyFill="1" applyAlignment="1">
      <alignment vertical="center"/>
    </xf>
    <xf numFmtId="0" fontId="21" fillId="0" borderId="0" xfId="112" applyFont="1" applyFill="1"/>
    <xf numFmtId="10" fontId="7" fillId="0" borderId="1" xfId="97" applyNumberFormat="1" applyFont="1" applyFill="1" applyBorder="1" applyAlignment="1">
      <alignment vertical="center"/>
    </xf>
    <xf numFmtId="0" fontId="23" fillId="0" borderId="24" xfId="112" applyFont="1" applyFill="1" applyBorder="1" applyAlignment="1">
      <alignment horizontal="center" vertical="center" wrapText="1"/>
    </xf>
    <xf numFmtId="0" fontId="2" fillId="0" borderId="0" xfId="112"/>
    <xf numFmtId="0" fontId="20" fillId="0" borderId="0" xfId="112" applyFont="1" applyFill="1" applyAlignment="1">
      <alignment vertical="justify"/>
    </xf>
    <xf numFmtId="0" fontId="2" fillId="0" borderId="0" xfId="112" applyAlignment="1">
      <alignment vertical="center"/>
    </xf>
    <xf numFmtId="0" fontId="21" fillId="0" borderId="0" xfId="112" applyFont="1" applyFill="1" applyAlignment="1">
      <alignment vertical="justify"/>
    </xf>
    <xf numFmtId="0" fontId="22" fillId="0" borderId="0" xfId="112" applyFont="1" applyFill="1" applyAlignment="1">
      <alignment vertical="justify"/>
    </xf>
    <xf numFmtId="0" fontId="2" fillId="0" borderId="0" xfId="112" applyBorder="1"/>
    <xf numFmtId="0" fontId="23" fillId="0" borderId="10" xfId="112" applyFont="1" applyFill="1" applyBorder="1" applyAlignment="1">
      <alignment vertical="center"/>
    </xf>
    <xf numFmtId="0" fontId="23" fillId="0" borderId="10" xfId="112" applyFont="1" applyFill="1" applyBorder="1" applyAlignment="1">
      <alignment vertical="justify"/>
    </xf>
    <xf numFmtId="0" fontId="19" fillId="0" borderId="24" xfId="112" applyFont="1" applyFill="1" applyBorder="1" applyAlignment="1">
      <alignment horizontal="center" vertical="center"/>
    </xf>
    <xf numFmtId="0" fontId="19" fillId="0" borderId="24" xfId="112" applyFont="1" applyFill="1" applyBorder="1" applyAlignment="1">
      <alignment horizontal="justify" vertical="justify"/>
    </xf>
    <xf numFmtId="0" fontId="23" fillId="0" borderId="29" xfId="112" applyFont="1" applyFill="1" applyBorder="1" applyAlignment="1">
      <alignment vertical="center"/>
    </xf>
    <xf numFmtId="0" fontId="23" fillId="0" borderId="29" xfId="112" applyFont="1" applyFill="1" applyBorder="1" applyAlignment="1">
      <alignment vertical="justify"/>
    </xf>
    <xf numFmtId="0" fontId="23" fillId="0" borderId="26" xfId="112" applyFont="1" applyFill="1" applyBorder="1" applyAlignment="1">
      <alignment vertical="justify"/>
    </xf>
    <xf numFmtId="0" fontId="23" fillId="0" borderId="24" xfId="112" applyFont="1" applyFill="1" applyBorder="1" applyAlignment="1">
      <alignment horizontal="left" vertical="center" wrapText="1"/>
    </xf>
    <xf numFmtId="0" fontId="23" fillId="0" borderId="26" xfId="112" applyFont="1" applyFill="1" applyBorder="1" applyAlignment="1">
      <alignment horizontal="center" vertical="center" wrapText="1"/>
    </xf>
    <xf numFmtId="0" fontId="23" fillId="0" borderId="24" xfId="112" applyFont="1" applyFill="1" applyBorder="1" applyAlignment="1">
      <alignment horizontal="center" vertical="center"/>
    </xf>
    <xf numFmtId="0" fontId="23" fillId="0" borderId="24" xfId="112" applyFont="1" applyFill="1" applyBorder="1" applyAlignment="1">
      <alignment horizontal="justify" vertical="center"/>
    </xf>
    <xf numFmtId="0" fontId="21" fillId="0" borderId="0" xfId="112" applyFont="1" applyFill="1" applyBorder="1" applyAlignment="1">
      <alignment horizontal="left" vertical="center"/>
    </xf>
    <xf numFmtId="0" fontId="18" fillId="0" borderId="0" xfId="112" applyFont="1" applyFill="1" applyAlignment="1">
      <alignment horizontal="justify" vertical="center"/>
    </xf>
    <xf numFmtId="0" fontId="18" fillId="0" borderId="0" xfId="112" applyFont="1" applyFill="1" applyAlignment="1">
      <alignment horizontal="left" vertical="center"/>
    </xf>
    <xf numFmtId="0" fontId="18" fillId="0" borderId="0" xfId="112" applyFont="1"/>
    <xf numFmtId="0" fontId="21" fillId="0" borderId="24" xfId="112" applyFont="1" applyFill="1" applyBorder="1" applyAlignment="1">
      <alignment horizontal="center" vertical="center" wrapText="1"/>
    </xf>
    <xf numFmtId="0" fontId="25" fillId="0" borderId="24" xfId="112" applyFont="1" applyFill="1" applyBorder="1" applyAlignment="1">
      <alignment vertical="center"/>
    </xf>
    <xf numFmtId="0" fontId="23" fillId="0" borderId="24" xfId="112" applyFont="1" applyFill="1" applyBorder="1" applyAlignment="1">
      <alignment horizontal="center" vertical="center"/>
    </xf>
    <xf numFmtId="0" fontId="25" fillId="0" borderId="0" xfId="112" applyFont="1" applyFill="1" applyBorder="1" applyAlignment="1">
      <alignment vertical="center" wrapText="1"/>
    </xf>
    <xf numFmtId="9" fontId="5" fillId="0" borderId="0" xfId="111" applyFont="1" applyBorder="1"/>
    <xf numFmtId="3" fontId="0" fillId="0" borderId="0" xfId="0" applyNumberFormat="1" applyBorder="1"/>
    <xf numFmtId="0" fontId="0" fillId="0" borderId="24" xfId="0" applyBorder="1" applyAlignment="1">
      <alignment horizontal="center"/>
    </xf>
    <xf numFmtId="9" fontId="0" fillId="0" borderId="24" xfId="111" applyFont="1" applyBorder="1"/>
    <xf numFmtId="175" fontId="0" fillId="0" borderId="1" xfId="1" applyNumberFormat="1" applyFont="1" applyBorder="1"/>
    <xf numFmtId="3" fontId="0" fillId="0" borderId="24" xfId="0" applyNumberFormat="1" applyBorder="1"/>
    <xf numFmtId="9" fontId="15" fillId="0" borderId="21" xfId="97" applyFont="1" applyFill="1" applyBorder="1"/>
    <xf numFmtId="0" fontId="23" fillId="0" borderId="24" xfId="112" applyFont="1" applyFill="1" applyBorder="1" applyAlignment="1">
      <alignment vertical="center"/>
    </xf>
    <xf numFmtId="0" fontId="18" fillId="7" borderId="24" xfId="112" applyFont="1" applyFill="1" applyBorder="1" applyAlignment="1">
      <alignment horizontal="justify" vertical="center" wrapText="1"/>
    </xf>
    <xf numFmtId="0" fontId="6" fillId="0" borderId="0" xfId="112" applyFont="1" applyFill="1" applyBorder="1" applyAlignment="1">
      <alignment vertical="center" wrapText="1"/>
    </xf>
    <xf numFmtId="0" fontId="19" fillId="5" borderId="0" xfId="112" applyFont="1" applyFill="1" applyBorder="1" applyAlignment="1">
      <alignment horizontal="center" vertical="justify"/>
    </xf>
    <xf numFmtId="0" fontId="23" fillId="0" borderId="0" xfId="112" applyFont="1" applyFill="1" applyBorder="1" applyAlignment="1">
      <alignment horizontal="center" vertical="center" wrapText="1"/>
    </xf>
    <xf numFmtId="0" fontId="19" fillId="7" borderId="1" xfId="112" applyFont="1" applyFill="1" applyBorder="1" applyAlignment="1">
      <alignment horizontal="left" vertical="center" wrapText="1"/>
    </xf>
    <xf numFmtId="0" fontId="25" fillId="0" borderId="0" xfId="112" applyFont="1" applyFill="1" applyBorder="1" applyAlignment="1">
      <alignment vertical="center" wrapText="1"/>
    </xf>
    <xf numFmtId="0" fontId="7" fillId="0" borderId="4"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 xfId="0" applyFont="1" applyFill="1" applyBorder="1" applyAlignment="1">
      <alignment horizontal="center" vertical="center"/>
    </xf>
    <xf numFmtId="0" fontId="23" fillId="0" borderId="0" xfId="112" applyFont="1" applyFill="1" applyBorder="1" applyAlignment="1">
      <alignment vertical="justify"/>
    </xf>
    <xf numFmtId="0" fontId="2" fillId="5" borderId="0" xfId="112" applyFill="1" applyBorder="1" applyAlignment="1">
      <alignment horizontal="center" vertical="center" wrapText="1"/>
    </xf>
    <xf numFmtId="0" fontId="23" fillId="0" borderId="0" xfId="112" applyFont="1" applyFill="1" applyBorder="1" applyAlignment="1">
      <alignment horizontal="center" vertical="center"/>
    </xf>
    <xf numFmtId="2" fontId="8" fillId="0" borderId="1" xfId="0" applyNumberFormat="1" applyFont="1" applyFill="1" applyBorder="1" applyAlignment="1">
      <alignment horizontal="center" vertical="center"/>
    </xf>
    <xf numFmtId="10" fontId="2" fillId="0" borderId="1" xfId="97" applyNumberFormat="1" applyFont="1" applyFill="1" applyBorder="1" applyAlignment="1">
      <alignment horizontal="center" vertical="center"/>
    </xf>
    <xf numFmtId="10" fontId="12" fillId="0" borderId="1" xfId="97" applyNumberFormat="1" applyFont="1" applyFill="1" applyBorder="1" applyAlignment="1">
      <alignment horizontal="center" vertical="center"/>
    </xf>
    <xf numFmtId="0" fontId="27" fillId="0" borderId="0" xfId="112" applyFont="1" applyFill="1" applyAlignment="1">
      <alignment vertical="center"/>
    </xf>
    <xf numFmtId="177" fontId="8" fillId="0" borderId="1" xfId="114" applyNumberFormat="1" applyFont="1" applyFill="1" applyBorder="1" applyAlignment="1">
      <alignment horizontal="center" vertical="center"/>
    </xf>
    <xf numFmtId="177" fontId="2" fillId="0" borderId="1" xfId="114" applyNumberFormat="1" applyFont="1" applyFill="1" applyBorder="1" applyAlignment="1">
      <alignment horizontal="center" vertical="center"/>
    </xf>
    <xf numFmtId="10" fontId="12" fillId="0" borderId="4" xfId="97" applyNumberFormat="1" applyFont="1" applyFill="1" applyBorder="1" applyAlignment="1">
      <alignment horizontal="center" vertical="center"/>
    </xf>
    <xf numFmtId="10" fontId="8" fillId="0" borderId="1" xfId="97" applyNumberFormat="1" applyFont="1" applyFill="1" applyBorder="1" applyAlignment="1">
      <alignment horizontal="center" vertical="center"/>
    </xf>
    <xf numFmtId="172" fontId="21" fillId="0" borderId="1" xfId="112" applyNumberFormat="1" applyFont="1" applyFill="1" applyBorder="1" applyAlignment="1">
      <alignment horizontal="center" vertical="center" wrapText="1"/>
    </xf>
    <xf numFmtId="0" fontId="21" fillId="0" borderId="1" xfId="112" applyFont="1" applyFill="1" applyBorder="1" applyAlignment="1">
      <alignment horizontal="center" vertical="center" wrapText="1"/>
    </xf>
    <xf numFmtId="169" fontId="21" fillId="0" borderId="1" xfId="113" applyNumberFormat="1" applyFont="1" applyFill="1" applyBorder="1" applyAlignment="1">
      <alignment horizontal="center" vertical="center" wrapText="1"/>
    </xf>
    <xf numFmtId="169" fontId="21" fillId="0" borderId="1" xfId="113" applyNumberFormat="1" applyFont="1" applyFill="1" applyBorder="1" applyAlignment="1">
      <alignment vertical="center" wrapText="1"/>
    </xf>
    <xf numFmtId="0" fontId="21" fillId="0" borderId="24" xfId="0" applyFont="1" applyFill="1" applyBorder="1" applyAlignment="1">
      <alignment horizontal="center" vertical="center"/>
    </xf>
    <xf numFmtId="0" fontId="21" fillId="0" borderId="30" xfId="0" applyFont="1" applyFill="1" applyBorder="1" applyAlignment="1">
      <alignment horizontal="center" vertical="center"/>
    </xf>
    <xf numFmtId="0" fontId="23" fillId="0" borderId="22" xfId="112" applyFont="1" applyFill="1" applyBorder="1" applyAlignment="1">
      <alignment horizontal="center" vertical="center"/>
    </xf>
    <xf numFmtId="0" fontId="26" fillId="0" borderId="9"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3" fillId="0" borderId="24" xfId="112" applyFont="1" applyFill="1" applyBorder="1" applyAlignment="1">
      <alignment horizontal="center" vertical="center"/>
    </xf>
    <xf numFmtId="0" fontId="18" fillId="7" borderId="1" xfId="112" applyFont="1" applyFill="1" applyBorder="1" applyAlignment="1">
      <alignment horizontal="left" vertical="center" wrapText="1"/>
    </xf>
    <xf numFmtId="0" fontId="18" fillId="7" borderId="24" xfId="0" applyFont="1" applyFill="1" applyBorder="1" applyAlignment="1">
      <alignment horizontal="justify" vertical="center" wrapText="1"/>
    </xf>
    <xf numFmtId="0" fontId="0" fillId="0" borderId="0" xfId="0" applyBorder="1" applyAlignment="1">
      <alignment vertical="center"/>
    </xf>
    <xf numFmtId="175" fontId="0" fillId="0" borderId="1" xfId="1" applyNumberFormat="1" applyFont="1" applyBorder="1" applyAlignment="1">
      <alignment vertical="center"/>
    </xf>
    <xf numFmtId="0" fontId="0" fillId="0" borderId="0" xfId="0" applyBorder="1" applyAlignment="1">
      <alignment horizontal="center" vertical="center"/>
    </xf>
    <xf numFmtId="0" fontId="0" fillId="0" borderId="0" xfId="0" applyAlignment="1">
      <alignment vertical="center"/>
    </xf>
    <xf numFmtId="0" fontId="18" fillId="7" borderId="30" xfId="0" applyFont="1" applyFill="1" applyBorder="1" applyAlignment="1">
      <alignment horizontal="justify" vertical="center" wrapText="1"/>
    </xf>
    <xf numFmtId="0" fontId="21" fillId="0" borderId="31" xfId="0" applyFont="1" applyFill="1" applyBorder="1" applyAlignment="1">
      <alignment horizontal="center" vertical="center"/>
    </xf>
    <xf numFmtId="4" fontId="0" fillId="5" borderId="10" xfId="0" applyNumberFormat="1" applyFill="1" applyBorder="1"/>
    <xf numFmtId="4" fontId="0" fillId="0" borderId="1" xfId="0" applyNumberFormat="1" applyBorder="1" applyAlignment="1">
      <alignment vertical="center"/>
    </xf>
    <xf numFmtId="3" fontId="25" fillId="0" borderId="32" xfId="0" applyNumberFormat="1" applyFont="1" applyFill="1" applyBorder="1" applyAlignment="1">
      <alignment horizontal="center" vertical="center" wrapText="1"/>
    </xf>
    <xf numFmtId="178" fontId="5" fillId="0" borderId="0" xfId="111" applyNumberFormat="1" applyFont="1" applyBorder="1"/>
    <xf numFmtId="178" fontId="15" fillId="0" borderId="21" xfId="97" applyNumberFormat="1" applyFont="1" applyFill="1" applyBorder="1"/>
    <xf numFmtId="0" fontId="21" fillId="0" borderId="24" xfId="0" applyFont="1" applyFill="1" applyBorder="1" applyAlignment="1">
      <alignment horizontal="center" vertical="center" wrapText="1"/>
    </xf>
    <xf numFmtId="0" fontId="23" fillId="0" borderId="0" xfId="112" applyFont="1" applyFill="1" applyAlignment="1">
      <alignment horizontal="right" vertical="justify"/>
    </xf>
    <xf numFmtId="172" fontId="23" fillId="0" borderId="0" xfId="112" applyNumberFormat="1" applyFont="1" applyFill="1" applyAlignment="1">
      <alignment horizontal="justify" vertical="justify"/>
    </xf>
    <xf numFmtId="179" fontId="23" fillId="0" borderId="0" xfId="112" applyNumberFormat="1" applyFont="1" applyFill="1" applyAlignment="1">
      <alignment horizontal="justify" vertical="justify"/>
    </xf>
    <xf numFmtId="172" fontId="19" fillId="0" borderId="0" xfId="112" applyNumberFormat="1" applyFont="1" applyFill="1" applyAlignment="1">
      <alignment horizontal="justify" vertical="justify"/>
    </xf>
    <xf numFmtId="172" fontId="19" fillId="0" borderId="0" xfId="112" applyNumberFormat="1" applyFont="1" applyFill="1" applyAlignment="1">
      <alignment horizontal="center" vertical="justify"/>
    </xf>
    <xf numFmtId="0" fontId="19" fillId="0" borderId="0" xfId="112" applyNumberFormat="1" applyFont="1" applyFill="1" applyAlignment="1">
      <alignment horizontal="justify" vertical="justify"/>
    </xf>
    <xf numFmtId="0" fontId="19" fillId="0" borderId="0" xfId="112" applyFont="1" applyFill="1" applyAlignment="1">
      <alignment horizontal="left" vertical="center"/>
    </xf>
    <xf numFmtId="2" fontId="19" fillId="0" borderId="0" xfId="112" applyNumberFormat="1" applyFont="1" applyFill="1" applyAlignment="1">
      <alignment horizontal="justify" vertical="justify"/>
    </xf>
    <xf numFmtId="49" fontId="19" fillId="0" borderId="0" xfId="112" applyNumberFormat="1" applyFont="1" applyFill="1" applyAlignment="1">
      <alignment horizontal="justify" vertical="justify"/>
    </xf>
    <xf numFmtId="0" fontId="19" fillId="2" borderId="0" xfId="112" applyFont="1" applyFill="1" applyAlignment="1">
      <alignment horizontal="center" vertical="justify"/>
    </xf>
    <xf numFmtId="172" fontId="19" fillId="0" borderId="0" xfId="112" applyNumberFormat="1" applyFont="1" applyFill="1"/>
    <xf numFmtId="179" fontId="19" fillId="0" borderId="0" xfId="112" applyNumberFormat="1" applyFont="1" applyFill="1"/>
    <xf numFmtId="0" fontId="6" fillId="0" borderId="0" xfId="112" applyFont="1" applyFill="1" applyBorder="1" applyAlignment="1">
      <alignment vertical="center" wrapText="1"/>
    </xf>
    <xf numFmtId="0" fontId="23" fillId="0" borderId="22" xfId="112" applyFont="1" applyFill="1" applyBorder="1" applyAlignment="1">
      <alignment horizontal="center" vertical="center"/>
    </xf>
    <xf numFmtId="0" fontId="6" fillId="0" borderId="0" xfId="116" applyFont="1" applyFill="1" applyAlignment="1">
      <alignment vertical="center"/>
    </xf>
    <xf numFmtId="0" fontId="6" fillId="0" borderId="0" xfId="116" applyFont="1" applyFill="1" applyBorder="1" applyAlignment="1">
      <alignment horizontal="center" vertical="center"/>
    </xf>
    <xf numFmtId="0" fontId="19" fillId="0" borderId="0" xfId="116" applyFont="1" applyFill="1" applyAlignment="1">
      <alignment vertical="center"/>
    </xf>
    <xf numFmtId="0" fontId="6" fillId="0" borderId="0" xfId="116" applyFont="1" applyFill="1" applyBorder="1" applyAlignment="1">
      <alignment horizontal="center" vertical="center" wrapText="1"/>
    </xf>
    <xf numFmtId="0" fontId="6" fillId="0" borderId="0" xfId="116" applyFont="1" applyFill="1" applyBorder="1" applyAlignment="1">
      <alignment vertical="center"/>
    </xf>
    <xf numFmtId="0" fontId="19" fillId="0" borderId="0" xfId="116" applyFont="1" applyFill="1"/>
    <xf numFmtId="0" fontId="21" fillId="0" borderId="30" xfId="116" applyFont="1" applyFill="1" applyBorder="1" applyAlignment="1">
      <alignment horizontal="center" vertical="center"/>
    </xf>
    <xf numFmtId="0" fontId="21" fillId="0" borderId="30" xfId="116" applyFont="1" applyFill="1" applyBorder="1" applyAlignment="1">
      <alignment horizontal="center" vertical="center" wrapText="1"/>
    </xf>
    <xf numFmtId="0" fontId="23" fillId="0" borderId="27" xfId="116" applyFont="1" applyFill="1" applyBorder="1" applyAlignment="1">
      <alignment horizontal="center" vertical="center"/>
    </xf>
    <xf numFmtId="0" fontId="25" fillId="0" borderId="30" xfId="116" applyFont="1" applyFill="1" applyBorder="1" applyAlignment="1">
      <alignment horizontal="center" vertical="center"/>
    </xf>
    <xf numFmtId="0" fontId="18" fillId="7" borderId="11" xfId="116" applyFont="1" applyFill="1" applyBorder="1" applyAlignment="1">
      <alignment horizontal="justify" vertical="center"/>
    </xf>
    <xf numFmtId="0" fontId="18" fillId="7" borderId="30" xfId="116" applyFont="1" applyFill="1" applyBorder="1" applyAlignment="1">
      <alignment horizontal="justify" vertical="center"/>
    </xf>
    <xf numFmtId="172" fontId="21" fillId="0" borderId="30" xfId="116" applyNumberFormat="1" applyFont="1" applyFill="1" applyBorder="1" applyAlignment="1">
      <alignment horizontal="center" vertical="center" wrapText="1"/>
    </xf>
    <xf numFmtId="0" fontId="2" fillId="0" borderId="0" xfId="116" applyAlignment="1">
      <alignment vertical="center" wrapText="1"/>
    </xf>
    <xf numFmtId="0" fontId="2" fillId="0" borderId="0" xfId="116" applyFont="1" applyAlignment="1">
      <alignment vertical="center" wrapText="1"/>
    </xf>
    <xf numFmtId="0" fontId="19" fillId="0" borderId="0" xfId="116" applyFont="1" applyBorder="1" applyAlignment="1">
      <alignment horizontal="justify" vertical="justify"/>
    </xf>
    <xf numFmtId="0" fontId="21" fillId="0" borderId="0" xfId="116" applyFont="1" applyFill="1" applyAlignment="1">
      <alignment horizontal="center" vertical="center"/>
    </xf>
    <xf numFmtId="0" fontId="19" fillId="0" borderId="0" xfId="116" applyFont="1" applyFill="1" applyAlignment="1">
      <alignment horizontal="center" vertical="center"/>
    </xf>
    <xf numFmtId="0" fontId="19" fillId="0" borderId="0" xfId="116" applyFont="1" applyFill="1" applyAlignment="1">
      <alignment horizontal="justify" vertical="justify"/>
    </xf>
    <xf numFmtId="0" fontId="23" fillId="0" borderId="0" xfId="116" applyFont="1" applyFill="1" applyAlignment="1">
      <alignment horizontal="justify" vertical="justify"/>
    </xf>
    <xf numFmtId="0" fontId="21" fillId="0" borderId="0" xfId="116" applyFont="1" applyFill="1" applyAlignment="1">
      <alignment vertical="center"/>
    </xf>
    <xf numFmtId="0" fontId="21" fillId="0" borderId="0" xfId="116" applyFont="1" applyFill="1" applyBorder="1" applyAlignment="1">
      <alignment horizontal="left" vertical="top"/>
    </xf>
    <xf numFmtId="0" fontId="21" fillId="0" borderId="0" xfId="116" applyFont="1" applyFill="1" applyBorder="1" applyAlignment="1">
      <alignment vertical="top"/>
    </xf>
    <xf numFmtId="0" fontId="25" fillId="0" borderId="0" xfId="116" applyFont="1" applyFill="1" applyBorder="1" applyAlignment="1">
      <alignment horizontal="left" vertical="center"/>
    </xf>
    <xf numFmtId="0" fontId="18" fillId="0" borderId="0" xfId="116" applyFont="1" applyFill="1" applyAlignment="1"/>
    <xf numFmtId="0" fontId="2" fillId="0" borderId="0" xfId="116" applyFont="1" applyFill="1" applyAlignment="1">
      <alignment vertical="center"/>
    </xf>
    <xf numFmtId="0" fontId="33" fillId="0" borderId="0" xfId="116" applyFont="1" applyFill="1" applyAlignment="1">
      <alignment vertical="center"/>
    </xf>
    <xf numFmtId="0" fontId="18" fillId="0" borderId="0" xfId="116" applyFont="1" applyFill="1"/>
    <xf numFmtId="0" fontId="18" fillId="0" borderId="0" xfId="116" applyFont="1" applyFill="1" applyAlignment="1">
      <alignment vertical="center"/>
    </xf>
    <xf numFmtId="0" fontId="21" fillId="0" borderId="0" xfId="116" applyFont="1" applyFill="1"/>
    <xf numFmtId="0" fontId="12" fillId="0" borderId="0" xfId="112" applyFont="1" applyFill="1" applyAlignment="1">
      <alignment vertical="center"/>
    </xf>
    <xf numFmtId="0" fontId="19"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19" fillId="0" borderId="30" xfId="112" applyFont="1" applyFill="1" applyBorder="1" applyAlignment="1">
      <alignment horizontal="center" vertical="center"/>
    </xf>
    <xf numFmtId="0" fontId="19" fillId="0" borderId="30" xfId="112" applyFont="1" applyFill="1" applyBorder="1" applyAlignment="1">
      <alignment horizontal="justify" vertical="justify"/>
    </xf>
    <xf numFmtId="0" fontId="23" fillId="0" borderId="30" xfId="112" applyFont="1" applyFill="1" applyBorder="1" applyAlignment="1">
      <alignment horizontal="center" vertical="center"/>
    </xf>
    <xf numFmtId="0" fontId="23" fillId="0" borderId="30" xfId="112" applyFont="1" applyFill="1" applyBorder="1" applyAlignment="1">
      <alignment horizontal="center" vertical="center" wrapText="1"/>
    </xf>
    <xf numFmtId="0" fontId="23" fillId="9" borderId="31" xfId="112" applyFont="1" applyFill="1" applyBorder="1" applyAlignment="1">
      <alignment vertical="justify"/>
    </xf>
    <xf numFmtId="0" fontId="24" fillId="9" borderId="29" xfId="112" applyFont="1" applyFill="1" applyBorder="1" applyAlignment="1">
      <alignment vertical="justify"/>
    </xf>
    <xf numFmtId="0" fontId="24" fillId="9" borderId="32" xfId="112" applyFont="1" applyFill="1" applyBorder="1" applyAlignment="1">
      <alignment vertical="justify"/>
    </xf>
    <xf numFmtId="0" fontId="23" fillId="0" borderId="22" xfId="112" applyFont="1" applyFill="1" applyBorder="1" applyAlignment="1">
      <alignment vertical="center"/>
    </xf>
    <xf numFmtId="0" fontId="19" fillId="0" borderId="30" xfId="112" applyFont="1" applyFill="1" applyBorder="1" applyAlignment="1">
      <alignment horizontal="justify" vertical="center" wrapText="1"/>
    </xf>
    <xf numFmtId="169" fontId="23" fillId="0" borderId="30" xfId="113" applyNumberFormat="1" applyFont="1" applyFill="1" applyBorder="1" applyAlignment="1">
      <alignment horizontal="center" vertical="center" wrapText="1"/>
    </xf>
    <xf numFmtId="0" fontId="19" fillId="0" borderId="30" xfId="112" applyFont="1" applyFill="1" applyBorder="1" applyAlignment="1">
      <alignment horizontal="justify" vertical="center"/>
    </xf>
    <xf numFmtId="0" fontId="23" fillId="0" borderId="33" xfId="112" applyFont="1" applyFill="1" applyBorder="1" applyAlignment="1">
      <alignment horizontal="center" vertical="center"/>
    </xf>
    <xf numFmtId="0" fontId="19" fillId="0" borderId="34" xfId="112" applyFont="1" applyBorder="1" applyAlignment="1">
      <alignment horizontal="justify" vertical="justify"/>
    </xf>
    <xf numFmtId="0" fontId="23" fillId="0" borderId="30" xfId="112" applyFont="1" applyFill="1" applyBorder="1" applyAlignment="1">
      <alignment vertical="center" wrapText="1"/>
    </xf>
    <xf numFmtId="0" fontId="19" fillId="0" borderId="0" xfId="112" applyFont="1" applyFill="1" applyAlignment="1">
      <alignment vertical="justify"/>
    </xf>
    <xf numFmtId="0" fontId="34" fillId="0" borderId="0" xfId="112" applyFont="1" applyFill="1" applyAlignment="1">
      <alignment horizontal="left" vertical="center"/>
    </xf>
    <xf numFmtId="0" fontId="21" fillId="0" borderId="5" xfId="116" applyFont="1" applyFill="1" applyBorder="1" applyAlignment="1">
      <alignment horizontal="center" vertical="center"/>
    </xf>
    <xf numFmtId="0" fontId="21" fillId="0" borderId="7" xfId="116" applyFont="1" applyFill="1" applyBorder="1" applyAlignment="1">
      <alignment horizontal="center" vertical="center"/>
    </xf>
    <xf numFmtId="0" fontId="32" fillId="8" borderId="30" xfId="116" applyFont="1" applyFill="1" applyBorder="1" applyAlignment="1">
      <alignment horizontal="center" vertical="center" wrapText="1"/>
    </xf>
    <xf numFmtId="0" fontId="32" fillId="9" borderId="31" xfId="116" applyFont="1" applyFill="1" applyBorder="1" applyAlignment="1">
      <alignment horizontal="left" vertical="center" wrapText="1"/>
    </xf>
    <xf numFmtId="0" fontId="32" fillId="9" borderId="29" xfId="116" applyFont="1" applyFill="1" applyBorder="1" applyAlignment="1">
      <alignment horizontal="left" vertical="center" wrapText="1"/>
    </xf>
    <xf numFmtId="0" fontId="21" fillId="0" borderId="6" xfId="116" applyFont="1" applyFill="1" applyBorder="1" applyAlignment="1">
      <alignment horizontal="center" vertical="center"/>
    </xf>
    <xf numFmtId="0" fontId="21" fillId="8" borderId="30" xfId="116" applyFont="1" applyFill="1" applyBorder="1" applyAlignment="1">
      <alignment horizontal="center" vertical="justify"/>
    </xf>
    <xf numFmtId="0" fontId="32" fillId="0" borderId="30" xfId="116" applyFont="1" applyFill="1" applyBorder="1" applyAlignment="1">
      <alignment horizontal="center" vertical="center" wrapText="1"/>
    </xf>
    <xf numFmtId="0" fontId="32" fillId="8" borderId="31" xfId="116" applyFont="1" applyFill="1" applyBorder="1" applyAlignment="1">
      <alignment horizontal="center" vertical="center" wrapText="1"/>
    </xf>
    <xf numFmtId="0" fontId="32" fillId="8" borderId="32" xfId="116" applyFont="1" applyFill="1" applyBorder="1" applyAlignment="1">
      <alignment horizontal="center" vertical="center" wrapText="1"/>
    </xf>
    <xf numFmtId="0" fontId="21" fillId="8" borderId="31" xfId="116" applyFont="1" applyFill="1" applyBorder="1" applyAlignment="1">
      <alignment horizontal="center" vertical="justify"/>
    </xf>
    <xf numFmtId="0" fontId="21" fillId="8" borderId="32" xfId="116" applyFont="1" applyFill="1" applyBorder="1" applyAlignment="1">
      <alignment horizontal="center" vertical="justify"/>
    </xf>
    <xf numFmtId="0" fontId="21" fillId="0" borderId="30" xfId="116" applyFont="1" applyFill="1" applyBorder="1" applyAlignment="1">
      <alignment horizontal="center" vertical="justify"/>
    </xf>
    <xf numFmtId="0" fontId="6" fillId="0" borderId="10" xfId="116" applyFont="1" applyFill="1" applyBorder="1" applyAlignment="1">
      <alignment vertical="center" wrapText="1"/>
    </xf>
    <xf numFmtId="0" fontId="23" fillId="0" borderId="27" xfId="116" applyFont="1" applyFill="1" applyBorder="1" applyAlignment="1">
      <alignment horizontal="center" vertical="center"/>
    </xf>
    <xf numFmtId="0" fontId="23" fillId="0" borderId="22" xfId="116" applyFont="1" applyFill="1" applyBorder="1" applyAlignment="1">
      <alignment horizontal="center" vertical="center"/>
    </xf>
    <xf numFmtId="0" fontId="23" fillId="0" borderId="11" xfId="116" applyFont="1" applyFill="1" applyBorder="1" applyAlignment="1">
      <alignment horizontal="center" vertical="center"/>
    </xf>
    <xf numFmtId="0" fontId="21" fillId="0" borderId="27" xfId="116" applyFont="1" applyFill="1" applyBorder="1" applyAlignment="1">
      <alignment horizontal="center" vertical="center"/>
    </xf>
    <xf numFmtId="0" fontId="21" fillId="0" borderId="11" xfId="116" applyFont="1" applyFill="1" applyBorder="1" applyAlignment="1">
      <alignment horizontal="center" vertical="center"/>
    </xf>
    <xf numFmtId="0" fontId="32" fillId="8" borderId="30" xfId="112" applyFont="1" applyFill="1" applyBorder="1" applyAlignment="1">
      <alignment horizontal="center" vertical="center" wrapText="1"/>
    </xf>
    <xf numFmtId="0" fontId="21" fillId="0" borderId="5" xfId="112" applyFont="1" applyFill="1" applyBorder="1" applyAlignment="1">
      <alignment horizontal="center" vertical="center"/>
    </xf>
    <xf numFmtId="0" fontId="21" fillId="0" borderId="6" xfId="112" applyFont="1" applyFill="1" applyBorder="1" applyAlignment="1">
      <alignment horizontal="center" vertical="center"/>
    </xf>
    <xf numFmtId="0" fontId="21" fillId="0" borderId="7" xfId="112" applyFont="1" applyFill="1" applyBorder="1" applyAlignment="1">
      <alignment horizontal="center" vertical="center"/>
    </xf>
    <xf numFmtId="0" fontId="19" fillId="0" borderId="27" xfId="112" applyFont="1" applyFill="1" applyBorder="1" applyAlignment="1">
      <alignment horizontal="center" vertical="center"/>
    </xf>
    <xf numFmtId="0" fontId="19" fillId="0" borderId="11" xfId="112" applyFont="1" applyFill="1" applyBorder="1" applyAlignment="1">
      <alignment horizontal="center" vertical="center"/>
    </xf>
    <xf numFmtId="0" fontId="23" fillId="0" borderId="28" xfId="112" applyFont="1" applyFill="1" applyBorder="1" applyAlignment="1">
      <alignment horizontal="center" vertical="center"/>
    </xf>
    <xf numFmtId="0" fontId="23" fillId="0" borderId="12" xfId="112" applyFont="1" applyFill="1" applyBorder="1" applyAlignment="1">
      <alignment horizontal="center" vertical="center"/>
    </xf>
    <xf numFmtId="0" fontId="32" fillId="0" borderId="30" xfId="112" applyFont="1" applyFill="1" applyBorder="1" applyAlignment="1">
      <alignment horizontal="center" vertical="center" wrapText="1"/>
    </xf>
    <xf numFmtId="0" fontId="12" fillId="0" borderId="0" xfId="112" applyFont="1" applyFill="1" applyBorder="1" applyAlignment="1">
      <alignment vertical="center" wrapText="1"/>
    </xf>
    <xf numFmtId="0" fontId="6" fillId="0" borderId="0" xfId="112" applyFont="1" applyFill="1" applyBorder="1" applyAlignment="1">
      <alignment horizontal="left" vertical="center" wrapText="1"/>
    </xf>
    <xf numFmtId="0" fontId="21" fillId="0" borderId="30" xfId="112" applyFont="1" applyFill="1" applyBorder="1" applyAlignment="1">
      <alignment horizontal="center" vertical="justify"/>
    </xf>
    <xf numFmtId="0" fontId="21" fillId="8" borderId="30" xfId="112" applyFont="1" applyFill="1" applyBorder="1" applyAlignment="1">
      <alignment horizontal="center" vertical="justify"/>
    </xf>
    <xf numFmtId="0" fontId="6" fillId="0" borderId="0" xfId="112" applyFont="1" applyFill="1" applyBorder="1" applyAlignment="1">
      <alignment vertical="center" wrapText="1"/>
    </xf>
    <xf numFmtId="0" fontId="19" fillId="5" borderId="1" xfId="112" applyFont="1" applyFill="1" applyBorder="1" applyAlignment="1">
      <alignment horizontal="center" vertical="justify"/>
    </xf>
    <xf numFmtId="0" fontId="23" fillId="5" borderId="1" xfId="112" applyFont="1" applyFill="1" applyBorder="1" applyAlignment="1">
      <alignment horizontal="center" vertical="center" wrapText="1"/>
    </xf>
    <xf numFmtId="0" fontId="23" fillId="0" borderId="4" xfId="112" applyFont="1" applyFill="1" applyBorder="1" applyAlignment="1">
      <alignment horizontal="center" vertical="center"/>
    </xf>
    <xf numFmtId="0" fontId="23" fillId="0" borderId="22" xfId="112" applyFont="1" applyFill="1" applyBorder="1" applyAlignment="1">
      <alignment horizontal="center" vertical="center"/>
    </xf>
    <xf numFmtId="0" fontId="23" fillId="0" borderId="11" xfId="112" applyFont="1" applyFill="1" applyBorder="1" applyAlignment="1">
      <alignment horizontal="center" vertical="center"/>
    </xf>
    <xf numFmtId="0" fontId="21" fillId="2" borderId="5" xfId="112" applyFont="1" applyFill="1" applyBorder="1" applyAlignment="1">
      <alignment horizontal="center" vertical="center"/>
    </xf>
    <xf numFmtId="0" fontId="21" fillId="2" borderId="7" xfId="112" applyFont="1" applyFill="1" applyBorder="1" applyAlignment="1">
      <alignment horizontal="center" vertical="center"/>
    </xf>
    <xf numFmtId="0" fontId="25" fillId="0" borderId="27" xfId="112" applyFont="1" applyFill="1" applyBorder="1" applyAlignment="1">
      <alignment horizontal="center" vertical="center"/>
    </xf>
    <xf numFmtId="0" fontId="25" fillId="0" borderId="22" xfId="112" applyFont="1" applyFill="1" applyBorder="1" applyAlignment="1">
      <alignment horizontal="center" vertical="center"/>
    </xf>
    <xf numFmtId="0" fontId="25" fillId="0" borderId="11" xfId="112" applyFont="1" applyFill="1" applyBorder="1" applyAlignment="1">
      <alignment horizontal="center" vertical="center"/>
    </xf>
    <xf numFmtId="0" fontId="26"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24" xfId="0" applyFont="1" applyBorder="1" applyAlignment="1">
      <alignment horizontal="left" vertical="center"/>
    </xf>
    <xf numFmtId="9" fontId="0" fillId="0" borderId="24" xfId="97" applyFont="1" applyBorder="1" applyAlignment="1">
      <alignment horizontal="right" vertical="center"/>
    </xf>
    <xf numFmtId="176" fontId="0" fillId="0" borderId="24" xfId="1" applyNumberFormat="1" applyFont="1" applyBorder="1" applyAlignment="1">
      <alignment vertical="center"/>
    </xf>
    <xf numFmtId="0" fontId="2" fillId="0" borderId="3" xfId="0" applyFont="1" applyBorder="1" applyAlignment="1">
      <alignment vertical="center" wrapText="1"/>
    </xf>
    <xf numFmtId="0" fontId="2" fillId="0" borderId="2" xfId="0" applyFont="1" applyBorder="1" applyAlignment="1">
      <alignment vertical="center" wrapText="1"/>
    </xf>
    <xf numFmtId="0" fontId="25" fillId="0" borderId="0" xfId="112" applyFont="1" applyFill="1" applyBorder="1" applyAlignment="1">
      <alignment vertical="center" wrapText="1"/>
    </xf>
    <xf numFmtId="0" fontId="19" fillId="0" borderId="25" xfId="112" applyFont="1" applyFill="1" applyBorder="1" applyAlignment="1">
      <alignment horizontal="center" vertical="justify"/>
    </xf>
    <xf numFmtId="0" fontId="19" fillId="0" borderId="26" xfId="112" applyFont="1" applyFill="1" applyBorder="1" applyAlignment="1">
      <alignment horizontal="center" vertical="justify"/>
    </xf>
    <xf numFmtId="0" fontId="23" fillId="0" borderId="24" xfId="112" applyFont="1" applyFill="1" applyBorder="1" applyAlignment="1">
      <alignment horizontal="center" vertical="center"/>
    </xf>
    <xf numFmtId="0" fontId="23" fillId="4" borderId="25" xfId="112" applyFont="1" applyFill="1" applyBorder="1" applyAlignment="1">
      <alignment horizontal="center" vertical="center" wrapText="1"/>
    </xf>
    <xf numFmtId="0" fontId="2" fillId="4" borderId="26" xfId="112"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xf numFmtId="10" fontId="17" fillId="0" borderId="16" xfId="111" applyNumberFormat="1" applyFont="1" applyBorder="1" applyAlignment="1">
      <alignment horizontal="center" vertical="center"/>
    </xf>
    <xf numFmtId="10" fontId="17" fillId="0" borderId="17" xfId="111" applyNumberFormat="1" applyFont="1" applyBorder="1" applyAlignment="1">
      <alignment horizontal="center" vertical="center"/>
    </xf>
    <xf numFmtId="10" fontId="17" fillId="0" borderId="18" xfId="111" applyNumberFormat="1" applyFont="1" applyBorder="1" applyAlignment="1">
      <alignment horizontal="center" vertical="center"/>
    </xf>
  </cellXfs>
  <cellStyles count="117">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xfId="114" builtinId="6"/>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5"/>
    <cellStyle name="Normal 4 2" xfId="116"/>
    <cellStyle name="Porcentaje" xfId="97" builtinId="5"/>
    <cellStyle name="Porcentaje 3" xfId="111"/>
    <cellStyle name="Porcentual 2" xfId="107"/>
  </cellStyles>
  <dxfs count="28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V52"/>
  <sheetViews>
    <sheetView tabSelected="1" view="pageBreakPreview" topLeftCell="A6" zoomScale="80" zoomScaleNormal="80" zoomScaleSheetLayoutView="80" zoomScalePageLayoutView="70" workbookViewId="0">
      <pane xSplit="2" ySplit="4" topLeftCell="O10" activePane="bottomRight" state="frozen"/>
      <selection activeCell="E21" sqref="E21"/>
      <selection pane="topRight" activeCell="E21" sqref="E21"/>
      <selection pane="bottomLeft" activeCell="E21" sqref="E21"/>
      <selection pane="bottomRight" activeCell="V10" sqref="V10"/>
    </sheetView>
  </sheetViews>
  <sheetFormatPr baseColWidth="10" defaultColWidth="11.42578125" defaultRowHeight="12.75" x14ac:dyDescent="0.2"/>
  <cols>
    <col min="1" max="1" width="10" style="232" customWidth="1"/>
    <col min="2" max="2" width="73.140625" style="233" customWidth="1"/>
    <col min="3" max="3" width="9.5703125" style="234" customWidth="1"/>
    <col min="4" max="4" width="20.7109375" style="234" customWidth="1"/>
    <col min="5" max="5" width="9.5703125" style="234" customWidth="1"/>
    <col min="6" max="6" width="20.7109375" style="234" customWidth="1"/>
    <col min="7" max="7" width="9.42578125" style="234" customWidth="1"/>
    <col min="8" max="8" width="20.7109375" style="234" customWidth="1"/>
    <col min="9" max="9" width="9.5703125" style="233" customWidth="1"/>
    <col min="10" max="10" width="20.7109375" style="233" customWidth="1"/>
    <col min="11" max="11" width="9.5703125" style="233" customWidth="1"/>
    <col min="12" max="12" width="20.7109375" style="233" customWidth="1"/>
    <col min="13" max="13" width="11" style="233" customWidth="1"/>
    <col min="14" max="14" width="20.7109375" style="233" customWidth="1"/>
    <col min="15" max="15" width="9.5703125" style="233" customWidth="1"/>
    <col min="16" max="16" width="20.7109375" style="233" customWidth="1"/>
    <col min="17" max="17" width="9.5703125" style="233" customWidth="1"/>
    <col min="18" max="18" width="20.7109375" style="233" customWidth="1"/>
    <col min="19" max="19" width="9.5703125" style="233" customWidth="1"/>
    <col min="20" max="20" width="20.7109375" style="233" customWidth="1"/>
    <col min="21" max="21" width="9.5703125" style="233" customWidth="1"/>
    <col min="22" max="22" width="20.7109375" style="233" customWidth="1"/>
    <col min="23" max="23" width="15.7109375" style="220" customWidth="1"/>
    <col min="24" max="16384" width="11.42578125" style="220"/>
  </cols>
  <sheetData>
    <row r="1" spans="1:22" s="217" customFormat="1" ht="33" customHeight="1" x14ac:dyDescent="0.25">
      <c r="A1" s="215" t="s">
        <v>115</v>
      </c>
      <c r="B1" s="215"/>
      <c r="C1" s="216"/>
      <c r="D1" s="216"/>
      <c r="E1" s="216"/>
      <c r="F1" s="216"/>
      <c r="G1" s="216"/>
      <c r="H1" s="216"/>
      <c r="I1" s="216"/>
      <c r="J1" s="216"/>
      <c r="K1" s="216"/>
      <c r="L1" s="216"/>
      <c r="M1" s="216"/>
      <c r="N1" s="216"/>
      <c r="O1" s="216"/>
      <c r="P1" s="216"/>
      <c r="Q1" s="216"/>
      <c r="R1" s="216"/>
      <c r="S1" s="216"/>
      <c r="T1" s="216"/>
      <c r="U1" s="215"/>
      <c r="V1" s="215"/>
    </row>
    <row r="2" spans="1:22" s="217" customFormat="1" ht="33" customHeight="1" x14ac:dyDescent="0.25">
      <c r="A2" s="215" t="s">
        <v>336</v>
      </c>
      <c r="B2" s="215"/>
      <c r="C2" s="216"/>
      <c r="D2" s="216"/>
      <c r="E2" s="216"/>
      <c r="F2" s="216"/>
      <c r="G2" s="216"/>
      <c r="H2" s="216"/>
      <c r="I2" s="216"/>
      <c r="J2" s="216"/>
      <c r="K2" s="216"/>
      <c r="L2" s="216"/>
      <c r="M2" s="216"/>
      <c r="N2" s="216"/>
      <c r="O2" s="216"/>
      <c r="P2" s="216"/>
      <c r="Q2" s="216"/>
      <c r="R2" s="216"/>
      <c r="S2" s="216"/>
      <c r="T2" s="216"/>
      <c r="U2" s="215"/>
      <c r="V2" s="215"/>
    </row>
    <row r="3" spans="1:22" s="217" customFormat="1" ht="33" customHeight="1" x14ac:dyDescent="0.25">
      <c r="A3" s="215" t="s">
        <v>174</v>
      </c>
      <c r="B3" s="215"/>
      <c r="C3" s="216"/>
      <c r="D3" s="216"/>
      <c r="E3" s="216"/>
      <c r="F3" s="216"/>
      <c r="G3" s="216"/>
      <c r="H3" s="216"/>
      <c r="I3" s="216"/>
      <c r="J3" s="216"/>
      <c r="K3" s="216"/>
      <c r="L3" s="216"/>
      <c r="M3" s="216"/>
      <c r="N3" s="216"/>
      <c r="O3" s="216"/>
      <c r="P3" s="216"/>
      <c r="Q3" s="216"/>
      <c r="R3" s="216"/>
      <c r="S3" s="216"/>
      <c r="T3" s="216"/>
      <c r="U3" s="215"/>
      <c r="V3" s="215"/>
    </row>
    <row r="4" spans="1:22" s="217" customFormat="1" ht="33" customHeight="1" x14ac:dyDescent="0.25">
      <c r="A4" s="215" t="s">
        <v>337</v>
      </c>
      <c r="B4" s="215"/>
      <c r="C4" s="216"/>
      <c r="D4" s="216"/>
      <c r="E4" s="216"/>
      <c r="F4" s="216"/>
      <c r="G4" s="216"/>
      <c r="H4" s="216"/>
      <c r="I4" s="216"/>
      <c r="J4" s="216"/>
      <c r="K4" s="216"/>
      <c r="L4" s="216"/>
      <c r="M4" s="216"/>
      <c r="N4" s="216"/>
      <c r="O4" s="216"/>
      <c r="P4" s="216"/>
      <c r="Q4" s="216"/>
      <c r="R4" s="216"/>
      <c r="S4" s="216"/>
      <c r="T4" s="216"/>
      <c r="U4" s="215"/>
      <c r="V4" s="215"/>
    </row>
    <row r="5" spans="1:22" s="217" customFormat="1" ht="68.25" customHeight="1" x14ac:dyDescent="0.25">
      <c r="A5" s="279" t="s">
        <v>338</v>
      </c>
      <c r="B5" s="279"/>
      <c r="C5" s="218"/>
      <c r="D5" s="218"/>
      <c r="E5" s="218"/>
      <c r="F5" s="218"/>
      <c r="G5" s="218"/>
      <c r="H5" s="218"/>
      <c r="I5" s="218"/>
      <c r="J5" s="218"/>
      <c r="K5" s="218"/>
      <c r="L5" s="218"/>
      <c r="M5" s="218"/>
      <c r="N5" s="218"/>
      <c r="O5" s="218"/>
      <c r="P5" s="218"/>
      <c r="Q5" s="218"/>
      <c r="R5" s="218"/>
      <c r="S5" s="218"/>
      <c r="T5" s="218"/>
      <c r="U5" s="219"/>
      <c r="V5" s="219"/>
    </row>
    <row r="6" spans="1:22" ht="15.75" x14ac:dyDescent="0.2">
      <c r="A6" s="280" t="s">
        <v>0</v>
      </c>
      <c r="B6" s="283" t="s">
        <v>117</v>
      </c>
      <c r="C6" s="278">
        <v>1</v>
      </c>
      <c r="D6" s="278"/>
      <c r="E6" s="278">
        <v>2</v>
      </c>
      <c r="F6" s="278"/>
      <c r="G6" s="278">
        <v>3</v>
      </c>
      <c r="H6" s="278"/>
      <c r="I6" s="272">
        <v>4</v>
      </c>
      <c r="J6" s="272"/>
      <c r="K6" s="276">
        <v>5</v>
      </c>
      <c r="L6" s="277"/>
      <c r="M6" s="276">
        <v>6</v>
      </c>
      <c r="N6" s="277"/>
      <c r="O6" s="276">
        <v>7</v>
      </c>
      <c r="P6" s="277"/>
      <c r="Q6" s="276">
        <v>8</v>
      </c>
      <c r="R6" s="277"/>
      <c r="S6" s="276">
        <v>9</v>
      </c>
      <c r="T6" s="277"/>
      <c r="U6" s="272">
        <v>10</v>
      </c>
      <c r="V6" s="272"/>
    </row>
    <row r="7" spans="1:22" ht="39" customHeight="1" x14ac:dyDescent="0.2">
      <c r="A7" s="281"/>
      <c r="B7" s="284"/>
      <c r="C7" s="273" t="s">
        <v>150</v>
      </c>
      <c r="D7" s="273"/>
      <c r="E7" s="273" t="s">
        <v>149</v>
      </c>
      <c r="F7" s="273"/>
      <c r="G7" s="273" t="s">
        <v>148</v>
      </c>
      <c r="H7" s="273"/>
      <c r="I7" s="268" t="s">
        <v>172</v>
      </c>
      <c r="J7" s="268"/>
      <c r="K7" s="274" t="s">
        <v>175</v>
      </c>
      <c r="L7" s="275"/>
      <c r="M7" s="274" t="s">
        <v>176</v>
      </c>
      <c r="N7" s="275"/>
      <c r="O7" s="274" t="s">
        <v>177</v>
      </c>
      <c r="P7" s="275"/>
      <c r="Q7" s="274" t="s">
        <v>147</v>
      </c>
      <c r="R7" s="275"/>
      <c r="S7" s="274" t="s">
        <v>178</v>
      </c>
      <c r="T7" s="275"/>
      <c r="U7" s="268" t="s">
        <v>179</v>
      </c>
      <c r="V7" s="268"/>
    </row>
    <row r="8" spans="1:22" ht="34.5" customHeight="1" x14ac:dyDescent="0.2">
      <c r="A8" s="282"/>
      <c r="B8" s="221" t="s">
        <v>118</v>
      </c>
      <c r="C8" s="221" t="s">
        <v>119</v>
      </c>
      <c r="D8" s="222" t="s">
        <v>339</v>
      </c>
      <c r="E8" s="221" t="s">
        <v>119</v>
      </c>
      <c r="F8" s="222" t="s">
        <v>339</v>
      </c>
      <c r="G8" s="221" t="s">
        <v>119</v>
      </c>
      <c r="H8" s="222" t="s">
        <v>339</v>
      </c>
      <c r="I8" s="221" t="s">
        <v>119</v>
      </c>
      <c r="J8" s="222" t="s">
        <v>339</v>
      </c>
      <c r="K8" s="221" t="s">
        <v>119</v>
      </c>
      <c r="L8" s="222" t="s">
        <v>339</v>
      </c>
      <c r="M8" s="221" t="s">
        <v>119</v>
      </c>
      <c r="N8" s="222" t="s">
        <v>339</v>
      </c>
      <c r="O8" s="221" t="s">
        <v>119</v>
      </c>
      <c r="P8" s="222" t="s">
        <v>339</v>
      </c>
      <c r="Q8" s="221" t="s">
        <v>119</v>
      </c>
      <c r="R8" s="222" t="s">
        <v>339</v>
      </c>
      <c r="S8" s="221" t="s">
        <v>119</v>
      </c>
      <c r="T8" s="222" t="s">
        <v>339</v>
      </c>
      <c r="U8" s="221" t="s">
        <v>119</v>
      </c>
      <c r="V8" s="222" t="s">
        <v>339</v>
      </c>
    </row>
    <row r="9" spans="1:22" ht="45" customHeight="1" x14ac:dyDescent="0.2">
      <c r="A9" s="223"/>
      <c r="B9" s="269" t="s">
        <v>340</v>
      </c>
      <c r="C9" s="270"/>
      <c r="D9" s="270"/>
      <c r="E9" s="270"/>
      <c r="F9" s="270"/>
      <c r="G9" s="270"/>
      <c r="H9" s="270"/>
      <c r="I9" s="270"/>
      <c r="J9" s="270"/>
      <c r="K9" s="270"/>
      <c r="L9" s="270"/>
      <c r="M9" s="270"/>
      <c r="N9" s="270"/>
      <c r="O9" s="270"/>
      <c r="P9" s="270"/>
      <c r="Q9" s="270"/>
      <c r="R9" s="270"/>
      <c r="S9" s="270"/>
      <c r="T9" s="270"/>
      <c r="U9" s="270"/>
      <c r="V9" s="270"/>
    </row>
    <row r="10" spans="1:22" ht="75" customHeight="1" x14ac:dyDescent="0.2">
      <c r="A10" s="224">
        <v>1</v>
      </c>
      <c r="B10" s="225" t="s">
        <v>341</v>
      </c>
      <c r="C10" s="222" t="s">
        <v>122</v>
      </c>
      <c r="D10" s="222" t="s">
        <v>389</v>
      </c>
      <c r="E10" s="222" t="s">
        <v>122</v>
      </c>
      <c r="F10" s="222" t="s">
        <v>389</v>
      </c>
      <c r="G10" s="222" t="s">
        <v>123</v>
      </c>
      <c r="H10" s="222"/>
      <c r="I10" s="222" t="s">
        <v>123</v>
      </c>
      <c r="J10" s="222"/>
      <c r="K10" s="222" t="s">
        <v>122</v>
      </c>
      <c r="L10" s="222" t="s">
        <v>342</v>
      </c>
      <c r="M10" s="222" t="s">
        <v>123</v>
      </c>
      <c r="N10" s="222"/>
      <c r="O10" s="222" t="s">
        <v>123</v>
      </c>
      <c r="P10" s="222"/>
      <c r="Q10" s="222" t="s">
        <v>123</v>
      </c>
      <c r="R10" s="222"/>
      <c r="S10" s="222" t="s">
        <v>123</v>
      </c>
      <c r="T10" s="222"/>
      <c r="U10" s="222" t="s">
        <v>123</v>
      </c>
      <c r="V10" s="222"/>
    </row>
    <row r="11" spans="1:22" ht="60" customHeight="1" x14ac:dyDescent="0.2">
      <c r="A11" s="224">
        <v>2</v>
      </c>
      <c r="B11" s="226" t="s">
        <v>343</v>
      </c>
      <c r="C11" s="222" t="s">
        <v>123</v>
      </c>
      <c r="D11" s="227" t="s">
        <v>344</v>
      </c>
      <c r="E11" s="222" t="s">
        <v>345</v>
      </c>
      <c r="F11" s="227" t="s">
        <v>346</v>
      </c>
      <c r="G11" s="222" t="s">
        <v>123</v>
      </c>
      <c r="H11" s="227" t="s">
        <v>347</v>
      </c>
      <c r="I11" s="222" t="s">
        <v>123</v>
      </c>
      <c r="J11" s="227" t="s">
        <v>348</v>
      </c>
      <c r="K11" s="227" t="s">
        <v>123</v>
      </c>
      <c r="L11" s="227" t="s">
        <v>349</v>
      </c>
      <c r="M11" s="227" t="s">
        <v>123</v>
      </c>
      <c r="N11" s="227" t="s">
        <v>350</v>
      </c>
      <c r="O11" s="227" t="s">
        <v>123</v>
      </c>
      <c r="P11" s="227" t="s">
        <v>351</v>
      </c>
      <c r="Q11" s="227" t="s">
        <v>123</v>
      </c>
      <c r="R11" s="227" t="s">
        <v>352</v>
      </c>
      <c r="S11" s="227" t="s">
        <v>123</v>
      </c>
      <c r="T11" s="227" t="s">
        <v>353</v>
      </c>
      <c r="U11" s="222" t="s">
        <v>123</v>
      </c>
      <c r="V11" s="227" t="s">
        <v>354</v>
      </c>
    </row>
    <row r="12" spans="1:22" ht="75.75" customHeight="1" x14ac:dyDescent="0.2">
      <c r="A12" s="224">
        <v>3</v>
      </c>
      <c r="B12" s="226" t="s">
        <v>355</v>
      </c>
      <c r="C12" s="222" t="s">
        <v>123</v>
      </c>
      <c r="D12" s="222"/>
      <c r="E12" s="222" t="s">
        <v>123</v>
      </c>
      <c r="F12" s="222"/>
      <c r="G12" s="222" t="s">
        <v>123</v>
      </c>
      <c r="H12" s="222"/>
      <c r="I12" s="222" t="s">
        <v>123</v>
      </c>
      <c r="J12" s="222"/>
      <c r="K12" s="222" t="s">
        <v>123</v>
      </c>
      <c r="L12" s="222"/>
      <c r="M12" s="222" t="s">
        <v>123</v>
      </c>
      <c r="N12" s="222"/>
      <c r="O12" s="222" t="s">
        <v>123</v>
      </c>
      <c r="P12" s="222"/>
      <c r="Q12" s="222" t="s">
        <v>123</v>
      </c>
      <c r="R12" s="222"/>
      <c r="S12" s="222" t="s">
        <v>123</v>
      </c>
      <c r="T12" s="222"/>
      <c r="U12" s="222" t="s">
        <v>123</v>
      </c>
      <c r="V12" s="222"/>
    </row>
    <row r="13" spans="1:22" ht="60" customHeight="1" x14ac:dyDescent="0.2">
      <c r="A13" s="224">
        <v>4</v>
      </c>
      <c r="B13" s="226" t="s">
        <v>356</v>
      </c>
      <c r="C13" s="222" t="s">
        <v>357</v>
      </c>
      <c r="D13" s="222"/>
      <c r="E13" s="222" t="s">
        <v>357</v>
      </c>
      <c r="F13" s="222"/>
      <c r="G13" s="222" t="s">
        <v>357</v>
      </c>
      <c r="H13" s="222"/>
      <c r="I13" s="222" t="s">
        <v>357</v>
      </c>
      <c r="J13" s="222"/>
      <c r="K13" s="222" t="s">
        <v>357</v>
      </c>
      <c r="L13" s="222"/>
      <c r="M13" s="222" t="s">
        <v>124</v>
      </c>
      <c r="N13" s="222"/>
      <c r="O13" s="222" t="s">
        <v>124</v>
      </c>
      <c r="P13" s="222"/>
      <c r="Q13" s="222" t="s">
        <v>357</v>
      </c>
      <c r="R13" s="222"/>
      <c r="S13" s="222" t="s">
        <v>357</v>
      </c>
      <c r="T13" s="222"/>
      <c r="U13" s="222" t="s">
        <v>124</v>
      </c>
      <c r="V13" s="222"/>
    </row>
    <row r="14" spans="1:22" ht="60" customHeight="1" x14ac:dyDescent="0.2">
      <c r="A14" s="224">
        <v>5</v>
      </c>
      <c r="B14" s="226" t="s">
        <v>358</v>
      </c>
      <c r="C14" s="222" t="s">
        <v>123</v>
      </c>
      <c r="D14" s="222"/>
      <c r="E14" s="222" t="s">
        <v>123</v>
      </c>
      <c r="F14" s="222"/>
      <c r="G14" s="222" t="s">
        <v>123</v>
      </c>
      <c r="H14" s="222"/>
      <c r="I14" s="222" t="s">
        <v>123</v>
      </c>
      <c r="J14" s="222"/>
      <c r="K14" s="222" t="s">
        <v>123</v>
      </c>
      <c r="L14" s="222"/>
      <c r="M14" s="222" t="s">
        <v>123</v>
      </c>
      <c r="N14" s="222"/>
      <c r="O14" s="222" t="s">
        <v>123</v>
      </c>
      <c r="P14" s="222"/>
      <c r="Q14" s="222" t="s">
        <v>123</v>
      </c>
      <c r="R14" s="222"/>
      <c r="S14" s="222" t="s">
        <v>123</v>
      </c>
      <c r="T14" s="222"/>
      <c r="U14" s="222" t="s">
        <v>123</v>
      </c>
      <c r="V14" s="222"/>
    </row>
    <row r="15" spans="1:22" ht="60" customHeight="1" x14ac:dyDescent="0.2">
      <c r="A15" s="224">
        <v>6</v>
      </c>
      <c r="B15" s="226" t="s">
        <v>359</v>
      </c>
      <c r="C15" s="222" t="s">
        <v>123</v>
      </c>
      <c r="D15" s="222"/>
      <c r="E15" s="222" t="s">
        <v>360</v>
      </c>
      <c r="F15" s="222"/>
      <c r="G15" s="222" t="s">
        <v>124</v>
      </c>
      <c r="H15" s="222"/>
      <c r="I15" s="222" t="s">
        <v>124</v>
      </c>
      <c r="J15" s="222"/>
      <c r="K15" s="222" t="s">
        <v>124</v>
      </c>
      <c r="L15" s="222"/>
      <c r="M15" s="222" t="s">
        <v>123</v>
      </c>
      <c r="N15" s="222"/>
      <c r="O15" s="222" t="s">
        <v>123</v>
      </c>
      <c r="P15" s="222"/>
      <c r="Q15" s="222" t="s">
        <v>124</v>
      </c>
      <c r="R15" s="222"/>
      <c r="S15" s="222" t="s">
        <v>124</v>
      </c>
      <c r="T15" s="222"/>
      <c r="U15" s="222" t="s">
        <v>123</v>
      </c>
      <c r="V15" s="222"/>
    </row>
    <row r="16" spans="1:22" ht="60" customHeight="1" x14ac:dyDescent="0.2">
      <c r="A16" s="224">
        <v>7</v>
      </c>
      <c r="B16" s="226" t="s">
        <v>361</v>
      </c>
      <c r="C16" s="222" t="s">
        <v>123</v>
      </c>
      <c r="D16" s="222"/>
      <c r="E16" s="222" t="s">
        <v>123</v>
      </c>
      <c r="F16" s="222"/>
      <c r="G16" s="222" t="s">
        <v>123</v>
      </c>
      <c r="H16" s="222"/>
      <c r="I16" s="222" t="s">
        <v>123</v>
      </c>
      <c r="J16" s="222"/>
      <c r="K16" s="222" t="s">
        <v>123</v>
      </c>
      <c r="L16" s="222"/>
      <c r="M16" s="222" t="s">
        <v>123</v>
      </c>
      <c r="N16" s="222"/>
      <c r="O16" s="222" t="s">
        <v>123</v>
      </c>
      <c r="P16" s="222"/>
      <c r="Q16" s="222" t="s">
        <v>123</v>
      </c>
      <c r="R16" s="222"/>
      <c r="S16" s="222" t="s">
        <v>123</v>
      </c>
      <c r="T16" s="222"/>
      <c r="U16" s="222" t="s">
        <v>123</v>
      </c>
      <c r="V16" s="222" t="s">
        <v>362</v>
      </c>
    </row>
    <row r="17" spans="1:22" ht="57.75" customHeight="1" x14ac:dyDescent="0.2">
      <c r="A17" s="224">
        <v>8</v>
      </c>
      <c r="B17" s="226" t="s">
        <v>363</v>
      </c>
      <c r="C17" s="222" t="s">
        <v>123</v>
      </c>
      <c r="D17" s="222"/>
      <c r="E17" s="222" t="s">
        <v>123</v>
      </c>
      <c r="F17" s="222"/>
      <c r="G17" s="222" t="s">
        <v>123</v>
      </c>
      <c r="H17" s="222"/>
      <c r="I17" s="222" t="s">
        <v>123</v>
      </c>
      <c r="J17" s="222"/>
      <c r="K17" s="222" t="s">
        <v>123</v>
      </c>
      <c r="L17" s="222"/>
      <c r="M17" s="222" t="s">
        <v>123</v>
      </c>
      <c r="N17" s="222"/>
      <c r="O17" s="222" t="s">
        <v>123</v>
      </c>
      <c r="P17" s="222"/>
      <c r="Q17" s="222" t="s">
        <v>123</v>
      </c>
      <c r="R17" s="222"/>
      <c r="S17" s="222" t="s">
        <v>123</v>
      </c>
      <c r="T17" s="222"/>
      <c r="U17" s="222" t="s">
        <v>123</v>
      </c>
      <c r="V17" s="222"/>
    </row>
    <row r="18" spans="1:22" ht="60" customHeight="1" x14ac:dyDescent="0.2">
      <c r="A18" s="224">
        <v>9</v>
      </c>
      <c r="B18" s="226" t="s">
        <v>364</v>
      </c>
      <c r="C18" s="222" t="s">
        <v>123</v>
      </c>
      <c r="D18" s="227"/>
      <c r="E18" s="222" t="s">
        <v>123</v>
      </c>
      <c r="F18" s="227"/>
      <c r="G18" s="222" t="s">
        <v>123</v>
      </c>
      <c r="H18" s="227"/>
      <c r="I18" s="222" t="s">
        <v>123</v>
      </c>
      <c r="J18" s="227"/>
      <c r="K18" s="227" t="s">
        <v>123</v>
      </c>
      <c r="L18" s="227"/>
      <c r="M18" s="227" t="s">
        <v>123</v>
      </c>
      <c r="N18" s="227"/>
      <c r="O18" s="227" t="s">
        <v>123</v>
      </c>
      <c r="P18" s="227"/>
      <c r="Q18" s="227" t="s">
        <v>123</v>
      </c>
      <c r="R18" s="227"/>
      <c r="S18" s="227" t="s">
        <v>123</v>
      </c>
      <c r="T18" s="227"/>
      <c r="U18" s="222" t="s">
        <v>123</v>
      </c>
      <c r="V18" s="227"/>
    </row>
    <row r="19" spans="1:22" ht="60" customHeight="1" x14ac:dyDescent="0.2">
      <c r="A19" s="224">
        <v>10</v>
      </c>
      <c r="B19" s="226" t="s">
        <v>365</v>
      </c>
      <c r="C19" s="222" t="s">
        <v>123</v>
      </c>
      <c r="D19" s="222"/>
      <c r="E19" s="222" t="s">
        <v>123</v>
      </c>
      <c r="F19" s="228"/>
      <c r="G19" s="222" t="s">
        <v>123</v>
      </c>
      <c r="H19" s="229"/>
      <c r="I19" s="222" t="s">
        <v>123</v>
      </c>
      <c r="J19" s="228"/>
      <c r="K19" s="222" t="s">
        <v>123</v>
      </c>
      <c r="L19" s="222"/>
      <c r="M19" s="222" t="s">
        <v>123</v>
      </c>
      <c r="N19" s="228"/>
      <c r="O19" s="222" t="s">
        <v>123</v>
      </c>
      <c r="P19" s="222"/>
      <c r="Q19" s="222" t="s">
        <v>123</v>
      </c>
      <c r="R19" s="228"/>
      <c r="S19" s="222" t="s">
        <v>123</v>
      </c>
      <c r="T19" s="228"/>
      <c r="U19" s="222" t="s">
        <v>123</v>
      </c>
      <c r="V19" s="222"/>
    </row>
    <row r="20" spans="1:22" ht="60" customHeight="1" x14ac:dyDescent="0.2">
      <c r="A20" s="224">
        <v>11</v>
      </c>
      <c r="B20" s="226" t="s">
        <v>366</v>
      </c>
      <c r="C20" s="222" t="s">
        <v>123</v>
      </c>
      <c r="D20" s="222"/>
      <c r="E20" s="222" t="s">
        <v>123</v>
      </c>
      <c r="F20" s="222"/>
      <c r="G20" s="222" t="s">
        <v>123</v>
      </c>
      <c r="H20" s="222"/>
      <c r="I20" s="222" t="s">
        <v>123</v>
      </c>
      <c r="J20" s="222"/>
      <c r="K20" s="222" t="s">
        <v>123</v>
      </c>
      <c r="L20" s="222"/>
      <c r="M20" s="222" t="s">
        <v>123</v>
      </c>
      <c r="N20" s="222"/>
      <c r="O20" s="222" t="s">
        <v>123</v>
      </c>
      <c r="P20" s="222"/>
      <c r="Q20" s="222" t="s">
        <v>123</v>
      </c>
      <c r="R20" s="222"/>
      <c r="S20" s="222" t="s">
        <v>123</v>
      </c>
      <c r="T20" s="222"/>
      <c r="U20" s="222" t="s">
        <v>123</v>
      </c>
      <c r="V20" s="222"/>
    </row>
    <row r="21" spans="1:22" ht="60" customHeight="1" x14ac:dyDescent="0.2">
      <c r="A21" s="224">
        <v>12</v>
      </c>
      <c r="B21" s="226" t="s">
        <v>367</v>
      </c>
      <c r="C21" s="222" t="s">
        <v>123</v>
      </c>
      <c r="D21" s="222"/>
      <c r="E21" s="222" t="s">
        <v>123</v>
      </c>
      <c r="F21" s="222"/>
      <c r="G21" s="222" t="s">
        <v>123</v>
      </c>
      <c r="H21" s="222"/>
      <c r="I21" s="222" t="s">
        <v>123</v>
      </c>
      <c r="J21" s="222">
        <v>76307421</v>
      </c>
      <c r="K21" s="222" t="s">
        <v>123</v>
      </c>
      <c r="L21" s="222"/>
      <c r="M21" s="222" t="s">
        <v>123</v>
      </c>
      <c r="N21" s="222" t="s">
        <v>368</v>
      </c>
      <c r="O21" s="222" t="s">
        <v>123</v>
      </c>
      <c r="P21" s="222" t="s">
        <v>369</v>
      </c>
      <c r="Q21" s="222" t="s">
        <v>123</v>
      </c>
      <c r="R21" s="222">
        <v>34561668</v>
      </c>
      <c r="S21" s="222" t="s">
        <v>123</v>
      </c>
      <c r="T21" s="222"/>
      <c r="U21" s="222" t="s">
        <v>123</v>
      </c>
      <c r="V21" s="222" t="s">
        <v>370</v>
      </c>
    </row>
    <row r="22" spans="1:22" ht="60" customHeight="1" x14ac:dyDescent="0.2">
      <c r="A22" s="224">
        <v>13</v>
      </c>
      <c r="B22" s="226" t="s">
        <v>371</v>
      </c>
      <c r="C22" s="222" t="s">
        <v>123</v>
      </c>
      <c r="D22" s="222"/>
      <c r="E22" s="222" t="s">
        <v>123</v>
      </c>
      <c r="F22" s="222"/>
      <c r="G22" s="222" t="s">
        <v>123</v>
      </c>
      <c r="H22" s="222"/>
      <c r="I22" s="222" t="s">
        <v>123</v>
      </c>
      <c r="J22" s="222"/>
      <c r="K22" s="222" t="s">
        <v>123</v>
      </c>
      <c r="L22" s="222"/>
      <c r="M22" s="222" t="s">
        <v>123</v>
      </c>
      <c r="N22" s="222"/>
      <c r="O22" s="222" t="s">
        <v>123</v>
      </c>
      <c r="P22" s="222"/>
      <c r="Q22" s="222" t="s">
        <v>123</v>
      </c>
      <c r="R22" s="222"/>
      <c r="S22" s="222" t="s">
        <v>123</v>
      </c>
      <c r="T22" s="222"/>
      <c r="U22" s="222" t="s">
        <v>123</v>
      </c>
      <c r="V22" s="222"/>
    </row>
    <row r="23" spans="1:22" ht="60" customHeight="1" x14ac:dyDescent="0.2">
      <c r="A23" s="224">
        <v>14</v>
      </c>
      <c r="B23" s="226" t="s">
        <v>372</v>
      </c>
      <c r="C23" s="222" t="s">
        <v>123</v>
      </c>
      <c r="D23" s="222"/>
      <c r="E23" s="222" t="s">
        <v>123</v>
      </c>
      <c r="F23" s="222"/>
      <c r="G23" s="222" t="s">
        <v>123</v>
      </c>
      <c r="H23" s="222"/>
      <c r="I23" s="222" t="s">
        <v>123</v>
      </c>
      <c r="J23" s="222"/>
      <c r="K23" s="222" t="s">
        <v>123</v>
      </c>
      <c r="L23" s="222"/>
      <c r="M23" s="222" t="s">
        <v>123</v>
      </c>
      <c r="N23" s="222"/>
      <c r="O23" s="222" t="s">
        <v>123</v>
      </c>
      <c r="P23" s="222"/>
      <c r="Q23" s="222" t="s">
        <v>123</v>
      </c>
      <c r="R23" s="222"/>
      <c r="S23" s="222" t="s">
        <v>123</v>
      </c>
      <c r="T23" s="222"/>
      <c r="U23" s="222" t="s">
        <v>123</v>
      </c>
      <c r="V23" s="222"/>
    </row>
    <row r="24" spans="1:22" ht="60" customHeight="1" x14ac:dyDescent="0.2">
      <c r="A24" s="224">
        <v>15</v>
      </c>
      <c r="B24" s="226" t="s">
        <v>373</v>
      </c>
      <c r="C24" s="222" t="s">
        <v>123</v>
      </c>
      <c r="D24" s="222"/>
      <c r="E24" s="222" t="s">
        <v>123</v>
      </c>
      <c r="F24" s="222"/>
      <c r="G24" s="222" t="s">
        <v>123</v>
      </c>
      <c r="H24" s="222"/>
      <c r="I24" s="222" t="s">
        <v>123</v>
      </c>
      <c r="J24" s="222"/>
      <c r="K24" s="222" t="s">
        <v>123</v>
      </c>
      <c r="L24" s="222"/>
      <c r="M24" s="222" t="s">
        <v>123</v>
      </c>
      <c r="N24" s="222"/>
      <c r="O24" s="222" t="s">
        <v>123</v>
      </c>
      <c r="P24" s="222"/>
      <c r="Q24" s="222" t="s">
        <v>123</v>
      </c>
      <c r="R24" s="222"/>
      <c r="S24" s="222" t="s">
        <v>123</v>
      </c>
      <c r="T24" s="222"/>
      <c r="U24" s="222" t="s">
        <v>123</v>
      </c>
      <c r="V24" s="222"/>
    </row>
    <row r="25" spans="1:22" ht="60" customHeight="1" x14ac:dyDescent="0.2">
      <c r="A25" s="224">
        <v>16</v>
      </c>
      <c r="B25" s="226" t="s">
        <v>374</v>
      </c>
      <c r="C25" s="222" t="s">
        <v>123</v>
      </c>
      <c r="D25" s="222"/>
      <c r="E25" s="222" t="s">
        <v>123</v>
      </c>
      <c r="F25" s="222"/>
      <c r="G25" s="222" t="s">
        <v>123</v>
      </c>
      <c r="H25" s="222"/>
      <c r="I25" s="222" t="s">
        <v>123</v>
      </c>
      <c r="J25" s="222"/>
      <c r="K25" s="222" t="s">
        <v>123</v>
      </c>
      <c r="L25" s="222"/>
      <c r="M25" s="222" t="s">
        <v>123</v>
      </c>
      <c r="N25" s="222"/>
      <c r="O25" s="222" t="s">
        <v>123</v>
      </c>
      <c r="P25" s="222"/>
      <c r="Q25" s="222" t="s">
        <v>123</v>
      </c>
      <c r="R25" s="222"/>
      <c r="S25" s="222" t="s">
        <v>123</v>
      </c>
      <c r="T25" s="222"/>
      <c r="U25" s="222" t="s">
        <v>123</v>
      </c>
      <c r="V25" s="222"/>
    </row>
    <row r="26" spans="1:22" ht="60" customHeight="1" x14ac:dyDescent="0.2">
      <c r="A26" s="224">
        <v>17</v>
      </c>
      <c r="B26" s="226" t="s">
        <v>375</v>
      </c>
      <c r="C26" s="222" t="s">
        <v>123</v>
      </c>
      <c r="D26" s="222"/>
      <c r="E26" s="222" t="s">
        <v>123</v>
      </c>
      <c r="F26" s="222"/>
      <c r="G26" s="222" t="s">
        <v>123</v>
      </c>
      <c r="H26" s="222"/>
      <c r="I26" s="222" t="s">
        <v>123</v>
      </c>
      <c r="J26" s="222"/>
      <c r="K26" s="222" t="s">
        <v>123</v>
      </c>
      <c r="L26" s="222"/>
      <c r="M26" s="222" t="s">
        <v>123</v>
      </c>
      <c r="N26" s="222"/>
      <c r="O26" s="222" t="s">
        <v>123</v>
      </c>
      <c r="P26" s="222"/>
      <c r="Q26" s="222" t="s">
        <v>123</v>
      </c>
      <c r="R26" s="222"/>
      <c r="S26" s="222" t="s">
        <v>123</v>
      </c>
      <c r="T26" s="222"/>
      <c r="U26" s="222" t="s">
        <v>123</v>
      </c>
      <c r="V26" s="222"/>
    </row>
    <row r="27" spans="1:22" ht="13.5" thickBot="1" x14ac:dyDescent="0.25">
      <c r="A27" s="230"/>
      <c r="B27" s="230"/>
      <c r="C27" s="230"/>
      <c r="D27" s="230"/>
      <c r="E27" s="230"/>
      <c r="F27" s="230"/>
      <c r="G27" s="230"/>
      <c r="H27" s="230"/>
      <c r="I27" s="230"/>
      <c r="J27" s="230"/>
      <c r="K27" s="230"/>
      <c r="L27" s="230"/>
      <c r="M27" s="230"/>
      <c r="N27" s="230"/>
      <c r="O27" s="230"/>
      <c r="P27" s="230"/>
      <c r="Q27" s="230"/>
      <c r="R27" s="230"/>
      <c r="S27" s="230"/>
      <c r="T27" s="230"/>
      <c r="U27" s="230"/>
      <c r="V27" s="230"/>
    </row>
    <row r="28" spans="1:22" s="231" customFormat="1" ht="19.5" customHeight="1" thickBot="1" x14ac:dyDescent="0.3">
      <c r="A28" s="266" t="s">
        <v>126</v>
      </c>
      <c r="B28" s="271"/>
      <c r="C28" s="266" t="s">
        <v>127</v>
      </c>
      <c r="D28" s="267"/>
      <c r="E28" s="266" t="s">
        <v>127</v>
      </c>
      <c r="F28" s="267"/>
      <c r="G28" s="266" t="s">
        <v>128</v>
      </c>
      <c r="H28" s="267"/>
      <c r="I28" s="266" t="s">
        <v>128</v>
      </c>
      <c r="J28" s="267"/>
      <c r="K28" s="266" t="s">
        <v>127</v>
      </c>
      <c r="L28" s="267"/>
      <c r="M28" s="266" t="s">
        <v>128</v>
      </c>
      <c r="N28" s="267"/>
      <c r="O28" s="266" t="s">
        <v>128</v>
      </c>
      <c r="P28" s="267"/>
      <c r="Q28" s="266" t="s">
        <v>128</v>
      </c>
      <c r="R28" s="267"/>
      <c r="S28" s="266" t="s">
        <v>128</v>
      </c>
      <c r="T28" s="267"/>
      <c r="U28" s="266" t="s">
        <v>128</v>
      </c>
      <c r="V28" s="267"/>
    </row>
    <row r="29" spans="1:22" x14ac:dyDescent="0.2">
      <c r="U29" s="232"/>
      <c r="V29" s="232"/>
    </row>
    <row r="30" spans="1:22" ht="18.75" customHeight="1" x14ac:dyDescent="0.2">
      <c r="B30" s="235" t="s">
        <v>129</v>
      </c>
      <c r="E30" s="235"/>
      <c r="G30" s="235"/>
      <c r="U30" s="232"/>
      <c r="V30" s="232"/>
    </row>
    <row r="31" spans="1:22" ht="12.75" customHeight="1" x14ac:dyDescent="0.2">
      <c r="E31" s="233"/>
      <c r="G31" s="233"/>
      <c r="U31" s="232"/>
      <c r="V31" s="232"/>
    </row>
    <row r="32" spans="1:22" ht="12.75" customHeight="1" x14ac:dyDescent="0.2">
      <c r="E32" s="233"/>
      <c r="G32" s="233"/>
      <c r="U32" s="232"/>
      <c r="V32" s="232"/>
    </row>
    <row r="33" spans="1:22" ht="17.25" customHeight="1" x14ac:dyDescent="0.2">
      <c r="B33" s="234"/>
      <c r="E33" s="236"/>
      <c r="G33" s="236"/>
      <c r="I33" s="237"/>
      <c r="J33" s="237"/>
      <c r="K33" s="237"/>
      <c r="V33" s="238"/>
    </row>
    <row r="34" spans="1:22" ht="15" customHeight="1" x14ac:dyDescent="0.25">
      <c r="B34" s="237" t="s">
        <v>376</v>
      </c>
      <c r="D34" s="239"/>
      <c r="E34" s="239"/>
      <c r="F34" s="239"/>
      <c r="G34" s="239"/>
      <c r="I34" s="240"/>
      <c r="J34" s="240"/>
      <c r="K34" s="240"/>
      <c r="V34" s="241"/>
    </row>
    <row r="35" spans="1:22" ht="14.25" customHeight="1" x14ac:dyDescent="0.25">
      <c r="B35" s="240" t="s">
        <v>377</v>
      </c>
      <c r="E35" s="242"/>
      <c r="G35" s="242"/>
      <c r="I35" s="242"/>
      <c r="J35" s="242"/>
      <c r="K35" s="242"/>
      <c r="L35" s="242"/>
      <c r="M35" s="242"/>
      <c r="N35" s="242"/>
      <c r="O35" s="242"/>
      <c r="P35" s="242"/>
      <c r="Q35" s="242"/>
      <c r="R35" s="242"/>
      <c r="S35" s="242"/>
      <c r="T35" s="242"/>
      <c r="U35" s="243"/>
      <c r="V35" s="243"/>
    </row>
    <row r="36" spans="1:22" ht="14.25" customHeight="1" x14ac:dyDescent="0.25">
      <c r="B36" s="242"/>
      <c r="D36" s="244"/>
      <c r="E36" s="242"/>
      <c r="F36" s="244"/>
      <c r="G36" s="242"/>
      <c r="H36" s="244"/>
      <c r="U36" s="243"/>
      <c r="V36" s="243"/>
    </row>
    <row r="37" spans="1:22" ht="14.25" customHeight="1" x14ac:dyDescent="0.25">
      <c r="B37" s="242"/>
      <c r="D37" s="244"/>
      <c r="E37" s="242"/>
      <c r="F37" s="244"/>
      <c r="G37" s="242"/>
      <c r="H37" s="244"/>
      <c r="U37" s="243"/>
      <c r="V37" s="243"/>
    </row>
    <row r="38" spans="1:22" ht="14.25" customHeight="1" x14ac:dyDescent="0.25">
      <c r="B38" s="242"/>
      <c r="D38" s="244"/>
      <c r="E38" s="242"/>
      <c r="F38" s="244"/>
      <c r="G38" s="242"/>
      <c r="H38" s="244"/>
      <c r="I38" s="242"/>
      <c r="J38" s="242"/>
      <c r="K38" s="242"/>
      <c r="L38" s="242"/>
      <c r="M38" s="242"/>
      <c r="N38" s="242"/>
      <c r="O38" s="242"/>
      <c r="P38" s="242"/>
      <c r="Q38" s="242"/>
      <c r="R38" s="242"/>
      <c r="S38" s="242"/>
      <c r="T38" s="242"/>
      <c r="U38" s="243"/>
      <c r="V38" s="243"/>
    </row>
    <row r="39" spans="1:22" ht="14.25" customHeight="1" x14ac:dyDescent="0.2">
      <c r="B39" s="237" t="s">
        <v>132</v>
      </c>
      <c r="D39" s="237"/>
      <c r="E39" s="236"/>
      <c r="F39" s="236"/>
      <c r="G39" s="236"/>
      <c r="H39" s="236"/>
      <c r="I39" s="236"/>
      <c r="J39" s="236"/>
      <c r="K39" s="236"/>
      <c r="L39" s="236"/>
      <c r="M39" s="236"/>
      <c r="N39" s="236"/>
      <c r="O39" s="236"/>
      <c r="P39" s="236"/>
      <c r="Q39" s="236"/>
      <c r="R39" s="236"/>
      <c r="S39" s="236"/>
      <c r="T39" s="236"/>
      <c r="U39" s="236"/>
      <c r="V39" s="243"/>
    </row>
    <row r="40" spans="1:22" ht="14.25" customHeight="1" x14ac:dyDescent="0.25">
      <c r="B40" s="242" t="s">
        <v>133</v>
      </c>
      <c r="D40" s="244"/>
      <c r="E40" s="242"/>
      <c r="F40" s="244"/>
      <c r="G40" s="242"/>
      <c r="H40" s="244"/>
      <c r="I40" s="242"/>
      <c r="J40" s="242"/>
      <c r="K40" s="242"/>
      <c r="L40" s="242"/>
      <c r="M40" s="242"/>
      <c r="N40" s="242"/>
      <c r="O40" s="242"/>
      <c r="P40" s="242"/>
      <c r="Q40" s="242"/>
      <c r="R40" s="242"/>
      <c r="S40" s="242"/>
      <c r="T40" s="242"/>
      <c r="U40" s="240"/>
      <c r="V40" s="243"/>
    </row>
    <row r="41" spans="1:22" ht="14.25" customHeight="1" x14ac:dyDescent="0.25">
      <c r="B41" s="242" t="s">
        <v>134</v>
      </c>
      <c r="D41" s="244"/>
      <c r="E41" s="242"/>
      <c r="F41" s="244"/>
      <c r="G41" s="242"/>
      <c r="H41" s="244"/>
      <c r="I41" s="242"/>
      <c r="J41" s="242"/>
      <c r="K41" s="242"/>
      <c r="L41" s="242"/>
      <c r="M41" s="242"/>
      <c r="N41" s="242"/>
      <c r="O41" s="242"/>
      <c r="P41" s="242"/>
      <c r="Q41" s="242"/>
      <c r="R41" s="242"/>
      <c r="S41" s="242"/>
      <c r="T41" s="242"/>
      <c r="U41" s="243"/>
      <c r="V41" s="243"/>
    </row>
    <row r="42" spans="1:22" ht="14.25" customHeight="1" x14ac:dyDescent="0.25">
      <c r="B42" s="242"/>
      <c r="C42" s="244"/>
      <c r="D42" s="244"/>
      <c r="E42" s="244"/>
      <c r="F42" s="244"/>
      <c r="G42" s="244"/>
      <c r="H42" s="244"/>
      <c r="I42" s="242"/>
      <c r="J42" s="242"/>
      <c r="K42" s="242"/>
      <c r="L42" s="242"/>
      <c r="M42" s="242"/>
      <c r="N42" s="242"/>
      <c r="O42" s="242"/>
      <c r="P42" s="242"/>
      <c r="Q42" s="242"/>
      <c r="R42" s="242"/>
      <c r="S42" s="242"/>
      <c r="T42" s="242"/>
      <c r="U42" s="243"/>
      <c r="V42" s="243"/>
    </row>
    <row r="43" spans="1:22" x14ac:dyDescent="0.2">
      <c r="U43" s="220"/>
      <c r="V43" s="220"/>
    </row>
    <row r="44" spans="1:22" x14ac:dyDescent="0.2">
      <c r="U44" s="220"/>
      <c r="V44" s="220"/>
    </row>
    <row r="45" spans="1:22" x14ac:dyDescent="0.2">
      <c r="U45" s="220"/>
      <c r="V45" s="220"/>
    </row>
    <row r="46" spans="1:22" x14ac:dyDescent="0.2">
      <c r="U46" s="220"/>
      <c r="V46" s="220"/>
    </row>
    <row r="48" spans="1:22" s="233" customFormat="1" x14ac:dyDescent="0.2">
      <c r="A48" s="232"/>
      <c r="C48" s="234"/>
      <c r="D48" s="234"/>
      <c r="E48" s="234"/>
      <c r="F48" s="234"/>
      <c r="G48" s="234"/>
      <c r="H48" s="234"/>
      <c r="U48" s="220"/>
      <c r="V48" s="220"/>
    </row>
    <row r="49" spans="1:22" s="233" customFormat="1" x14ac:dyDescent="0.2">
      <c r="A49" s="232"/>
      <c r="C49" s="234"/>
      <c r="D49" s="234"/>
      <c r="E49" s="234"/>
      <c r="F49" s="234"/>
      <c r="G49" s="234"/>
      <c r="H49" s="234"/>
      <c r="U49" s="220"/>
      <c r="V49" s="220"/>
    </row>
    <row r="50" spans="1:22" s="233" customFormat="1" x14ac:dyDescent="0.2">
      <c r="A50" s="232"/>
      <c r="C50" s="234"/>
      <c r="D50" s="234"/>
      <c r="E50" s="234"/>
      <c r="F50" s="234"/>
      <c r="G50" s="234"/>
      <c r="H50" s="234"/>
      <c r="U50" s="220"/>
      <c r="V50" s="220"/>
    </row>
    <row r="51" spans="1:22" s="233" customFormat="1" x14ac:dyDescent="0.2">
      <c r="A51" s="232"/>
      <c r="C51" s="234"/>
      <c r="D51" s="234"/>
      <c r="E51" s="234"/>
      <c r="F51" s="234"/>
      <c r="G51" s="234"/>
      <c r="H51" s="234"/>
      <c r="U51" s="220"/>
      <c r="V51" s="220"/>
    </row>
    <row r="52" spans="1:22" s="233" customFormat="1" x14ac:dyDescent="0.2">
      <c r="A52" s="232"/>
      <c r="C52" s="234"/>
      <c r="D52" s="234"/>
      <c r="E52" s="234"/>
      <c r="F52" s="234"/>
      <c r="G52" s="234"/>
      <c r="H52" s="234"/>
      <c r="U52" s="220"/>
      <c r="V52" s="220"/>
    </row>
  </sheetData>
  <mergeCells count="35">
    <mergeCell ref="G6:H6"/>
    <mergeCell ref="A5:B5"/>
    <mergeCell ref="A6:A8"/>
    <mergeCell ref="B6:B7"/>
    <mergeCell ref="C6:D6"/>
    <mergeCell ref="E6:F6"/>
    <mergeCell ref="U6:V6"/>
    <mergeCell ref="C7:D7"/>
    <mergeCell ref="E7:F7"/>
    <mergeCell ref="G7:H7"/>
    <mergeCell ref="I7:J7"/>
    <mergeCell ref="K7:L7"/>
    <mergeCell ref="M7:N7"/>
    <mergeCell ref="O7:P7"/>
    <mergeCell ref="Q7:R7"/>
    <mergeCell ref="S7:T7"/>
    <mergeCell ref="I6:J6"/>
    <mergeCell ref="K6:L6"/>
    <mergeCell ref="M6:N6"/>
    <mergeCell ref="O6:P6"/>
    <mergeCell ref="Q6:R6"/>
    <mergeCell ref="S6:T6"/>
    <mergeCell ref="Q28:R28"/>
    <mergeCell ref="S28:T28"/>
    <mergeCell ref="U28:V28"/>
    <mergeCell ref="U7:V7"/>
    <mergeCell ref="B9:V9"/>
    <mergeCell ref="A28:B28"/>
    <mergeCell ref="C28:D28"/>
    <mergeCell ref="E28:F28"/>
    <mergeCell ref="G28:H28"/>
    <mergeCell ref="I28:J28"/>
    <mergeCell ref="K28:L28"/>
    <mergeCell ref="M28:N28"/>
    <mergeCell ref="O28:P28"/>
  </mergeCells>
  <conditionalFormatting sqref="C20:V26 C19:E19 S19 U19:V19 G19 I19 K19:M19 O19:Q19 C10:V18">
    <cfRule type="cellIs" dxfId="281" priority="2" operator="equal">
      <formula>"NO"</formula>
    </cfRule>
  </conditionalFormatting>
  <conditionalFormatting sqref="C28:V28">
    <cfRule type="cellIs" dxfId="280" priority="1" operator="equal">
      <formula>"NO HABIL"</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41"/>
  <sheetViews>
    <sheetView view="pageBreakPreview" topLeftCell="A7" zoomScale="80" zoomScaleNormal="75" zoomScaleSheetLayoutView="80" zoomScalePageLayoutView="70" workbookViewId="0">
      <pane xSplit="2" ySplit="6" topLeftCell="C13" activePane="bottomRight" state="frozen"/>
      <selection activeCell="E21" sqref="E21"/>
      <selection pane="topRight" activeCell="E21" sqref="E21"/>
      <selection pane="bottomLeft" activeCell="E21" sqref="E21"/>
      <selection pane="bottomRight" activeCell="E21" sqref="E21"/>
    </sheetView>
  </sheetViews>
  <sheetFormatPr baseColWidth="10" defaultColWidth="11.42578125" defaultRowHeight="12.75" x14ac:dyDescent="0.2"/>
  <cols>
    <col min="1" max="1" width="6" style="114" customWidth="1"/>
    <col min="2" max="2" width="61.7109375" style="115" customWidth="1"/>
    <col min="3" max="3" width="15.7109375" style="116" customWidth="1"/>
    <col min="4" max="4" width="25.7109375" style="116" customWidth="1"/>
    <col min="5" max="5" width="15.7109375" style="115" customWidth="1"/>
    <col min="6" max="6" width="25.7109375" style="115" customWidth="1"/>
    <col min="7" max="7" width="15.7109375" style="115" customWidth="1"/>
    <col min="8" max="8" width="25.7109375" style="115" customWidth="1"/>
    <col min="9" max="9" width="15.7109375" style="115" customWidth="1"/>
    <col min="10" max="10" width="25.7109375" style="115" customWidth="1"/>
    <col min="11" max="11" width="15.7109375" style="115" customWidth="1"/>
    <col min="12" max="12" width="25.7109375" style="115" customWidth="1"/>
    <col min="13" max="13" width="15.7109375" style="116" customWidth="1"/>
    <col min="14" max="14" width="25.7109375" style="116" customWidth="1"/>
    <col min="15" max="15" width="15.7109375" style="115" customWidth="1"/>
    <col min="16" max="16" width="25.7109375" style="115" customWidth="1"/>
    <col min="17" max="17" width="15.7109375" style="115" customWidth="1"/>
    <col min="18" max="18" width="25.7109375" style="115" customWidth="1"/>
    <col min="19" max="19" width="15.7109375" style="115" customWidth="1"/>
    <col min="20" max="20" width="25.7109375" style="115" customWidth="1"/>
    <col min="21" max="21" width="15.7109375" style="115" customWidth="1"/>
    <col min="22" max="22" width="25.7109375" style="115" customWidth="1"/>
    <col min="23" max="16384" width="11.42578125" style="103"/>
  </cols>
  <sheetData>
    <row r="1" spans="1:22" s="96" customFormat="1" ht="17.25" customHeight="1" x14ac:dyDescent="0.25">
      <c r="A1" s="245" t="s">
        <v>137</v>
      </c>
      <c r="B1" s="95"/>
      <c r="C1" s="95"/>
      <c r="D1" s="95"/>
      <c r="E1" s="95"/>
      <c r="F1" s="95"/>
      <c r="G1" s="95"/>
      <c r="H1" s="95"/>
      <c r="I1" s="95"/>
      <c r="J1" s="95"/>
      <c r="K1" s="95"/>
      <c r="L1" s="95"/>
      <c r="M1" s="95"/>
      <c r="N1" s="95"/>
      <c r="O1" s="95"/>
      <c r="P1" s="95"/>
      <c r="Q1" s="95"/>
      <c r="R1" s="95"/>
      <c r="S1" s="95"/>
      <c r="T1" s="95"/>
      <c r="U1" s="95"/>
      <c r="V1" s="95"/>
    </row>
    <row r="2" spans="1:22" s="96" customFormat="1" ht="17.25" customHeight="1" x14ac:dyDescent="0.25">
      <c r="A2" s="245" t="s">
        <v>378</v>
      </c>
      <c r="B2" s="95"/>
      <c r="C2" s="95"/>
      <c r="D2" s="95"/>
      <c r="E2" s="95"/>
      <c r="F2" s="95"/>
      <c r="G2" s="95"/>
      <c r="H2" s="95"/>
      <c r="I2" s="95"/>
      <c r="J2" s="95"/>
      <c r="K2" s="95"/>
      <c r="L2" s="95"/>
      <c r="M2" s="95"/>
      <c r="N2" s="95"/>
      <c r="O2" s="95"/>
      <c r="P2" s="95"/>
      <c r="Q2" s="95"/>
      <c r="R2" s="95"/>
      <c r="S2" s="95"/>
      <c r="T2" s="95"/>
      <c r="U2" s="95"/>
      <c r="V2" s="95"/>
    </row>
    <row r="3" spans="1:22" s="96" customFormat="1" ht="8.25" customHeight="1" x14ac:dyDescent="0.25">
      <c r="A3" s="98"/>
      <c r="B3" s="98"/>
      <c r="C3" s="98"/>
      <c r="D3" s="245"/>
      <c r="E3" s="98"/>
      <c r="F3" s="98"/>
      <c r="G3" s="98"/>
      <c r="H3" s="98"/>
      <c r="I3" s="98"/>
      <c r="J3" s="98"/>
      <c r="K3" s="98"/>
      <c r="L3" s="98"/>
      <c r="M3" s="98"/>
      <c r="N3" s="245"/>
      <c r="O3" s="98"/>
      <c r="P3" s="245"/>
      <c r="Q3" s="98"/>
      <c r="R3" s="98"/>
      <c r="S3" s="98"/>
      <c r="T3" s="98"/>
      <c r="U3" s="98"/>
      <c r="V3" s="98"/>
    </row>
    <row r="4" spans="1:22" s="96" customFormat="1" ht="17.25" customHeight="1" x14ac:dyDescent="0.25">
      <c r="A4" s="245" t="s">
        <v>174</v>
      </c>
      <c r="B4" s="95"/>
      <c r="C4" s="95"/>
      <c r="D4" s="95"/>
      <c r="E4" s="95"/>
      <c r="F4" s="95"/>
      <c r="G4" s="95"/>
      <c r="H4" s="95"/>
      <c r="I4" s="95"/>
      <c r="J4" s="95"/>
      <c r="K4" s="95"/>
      <c r="L4" s="95"/>
      <c r="M4" s="95"/>
      <c r="N4" s="95"/>
      <c r="O4" s="95"/>
      <c r="P4" s="95"/>
      <c r="Q4" s="95"/>
      <c r="R4" s="95"/>
      <c r="S4" s="95"/>
      <c r="T4" s="95"/>
      <c r="U4" s="95"/>
      <c r="V4" s="95"/>
    </row>
    <row r="5" spans="1:22" s="96" customFormat="1" ht="16.5" customHeight="1" x14ac:dyDescent="0.25">
      <c r="A5" s="245" t="s">
        <v>379</v>
      </c>
      <c r="B5" s="95"/>
      <c r="C5" s="95"/>
      <c r="D5" s="95"/>
      <c r="E5" s="95"/>
      <c r="F5" s="95"/>
      <c r="G5" s="95"/>
      <c r="H5" s="95"/>
      <c r="I5" s="95"/>
      <c r="J5" s="95"/>
      <c r="K5" s="95"/>
      <c r="L5" s="95"/>
      <c r="M5" s="95"/>
      <c r="N5" s="95"/>
      <c r="O5" s="95"/>
      <c r="P5" s="95"/>
      <c r="Q5" s="95"/>
      <c r="R5" s="95"/>
      <c r="S5" s="95"/>
      <c r="T5" s="95"/>
      <c r="U5" s="95"/>
      <c r="V5" s="95"/>
    </row>
    <row r="6" spans="1:22" s="96" customFormat="1" ht="9.75" customHeight="1" x14ac:dyDescent="0.25">
      <c r="A6" s="98"/>
      <c r="B6" s="98"/>
      <c r="C6" s="98"/>
      <c r="D6" s="245"/>
      <c r="E6" s="98"/>
      <c r="F6" s="98"/>
      <c r="G6" s="98"/>
      <c r="H6" s="98"/>
      <c r="I6" s="98"/>
      <c r="J6" s="98"/>
      <c r="K6" s="98"/>
      <c r="L6" s="98"/>
      <c r="M6" s="98"/>
      <c r="N6" s="245"/>
      <c r="O6" s="98"/>
      <c r="P6" s="245"/>
      <c r="Q6" s="98"/>
      <c r="R6" s="98"/>
      <c r="S6" s="98"/>
      <c r="T6" s="98"/>
      <c r="U6" s="98"/>
      <c r="V6" s="98"/>
    </row>
    <row r="7" spans="1:22" s="246" customFormat="1" ht="71.25" customHeight="1" x14ac:dyDescent="0.25">
      <c r="A7" s="294" t="s">
        <v>320</v>
      </c>
      <c r="B7" s="294"/>
      <c r="C7" s="213"/>
      <c r="D7" s="213"/>
      <c r="E7" s="213"/>
      <c r="F7" s="213"/>
      <c r="G7" s="213"/>
      <c r="H7" s="213"/>
      <c r="I7" s="213"/>
      <c r="J7" s="213"/>
      <c r="K7" s="213"/>
      <c r="L7" s="213"/>
      <c r="M7" s="213"/>
      <c r="N7" s="213"/>
      <c r="O7" s="295"/>
      <c r="P7" s="295"/>
      <c r="Q7" s="295"/>
      <c r="R7" s="295"/>
      <c r="S7" s="295"/>
      <c r="T7" s="295"/>
      <c r="U7" s="295"/>
      <c r="V7" s="295"/>
    </row>
    <row r="8" spans="1:22" ht="9.75" customHeight="1" x14ac:dyDescent="0.2">
      <c r="A8" s="247"/>
      <c r="B8" s="248"/>
      <c r="C8" s="249"/>
      <c r="D8" s="249"/>
      <c r="E8" s="248"/>
      <c r="F8" s="248"/>
      <c r="G8" s="248"/>
      <c r="H8" s="248"/>
      <c r="I8" s="247"/>
      <c r="J8" s="248"/>
      <c r="K8" s="248"/>
      <c r="L8" s="248"/>
      <c r="M8" s="249"/>
      <c r="N8" s="249"/>
      <c r="O8" s="248"/>
      <c r="P8" s="248"/>
      <c r="Q8" s="248"/>
      <c r="R8" s="248"/>
      <c r="S8" s="247"/>
      <c r="T8" s="248"/>
      <c r="U8" s="248"/>
      <c r="V8" s="248"/>
    </row>
    <row r="9" spans="1:22" ht="15.75" x14ac:dyDescent="0.2">
      <c r="A9" s="250"/>
      <c r="B9" s="251"/>
      <c r="C9" s="296">
        <v>1</v>
      </c>
      <c r="D9" s="296"/>
      <c r="E9" s="296">
        <v>2</v>
      </c>
      <c r="F9" s="296"/>
      <c r="G9" s="296">
        <v>3</v>
      </c>
      <c r="H9" s="296"/>
      <c r="I9" s="297">
        <v>4</v>
      </c>
      <c r="J9" s="297"/>
      <c r="K9" s="297">
        <v>5</v>
      </c>
      <c r="L9" s="297"/>
      <c r="M9" s="297">
        <v>6</v>
      </c>
      <c r="N9" s="297"/>
      <c r="O9" s="297">
        <v>7</v>
      </c>
      <c r="P9" s="297"/>
      <c r="Q9" s="297">
        <v>8</v>
      </c>
      <c r="R9" s="297"/>
      <c r="S9" s="297">
        <v>9</v>
      </c>
      <c r="T9" s="297"/>
      <c r="U9" s="297">
        <v>10</v>
      </c>
      <c r="V9" s="297"/>
    </row>
    <row r="10" spans="1:22" ht="53.25" customHeight="1" x14ac:dyDescent="0.2">
      <c r="A10" s="289" t="s">
        <v>0</v>
      </c>
      <c r="B10" s="291" t="s">
        <v>118</v>
      </c>
      <c r="C10" s="293" t="s">
        <v>150</v>
      </c>
      <c r="D10" s="293"/>
      <c r="E10" s="293" t="s">
        <v>149</v>
      </c>
      <c r="F10" s="293"/>
      <c r="G10" s="293" t="s">
        <v>148</v>
      </c>
      <c r="H10" s="293"/>
      <c r="I10" s="285" t="s">
        <v>172</v>
      </c>
      <c r="J10" s="285"/>
      <c r="K10" s="285" t="s">
        <v>175</v>
      </c>
      <c r="L10" s="285"/>
      <c r="M10" s="285" t="s">
        <v>176</v>
      </c>
      <c r="N10" s="285"/>
      <c r="O10" s="285" t="s">
        <v>177</v>
      </c>
      <c r="P10" s="285"/>
      <c r="Q10" s="285" t="s">
        <v>147</v>
      </c>
      <c r="R10" s="285"/>
      <c r="S10" s="285" t="s">
        <v>178</v>
      </c>
      <c r="T10" s="285"/>
      <c r="U10" s="285" t="s">
        <v>179</v>
      </c>
      <c r="V10" s="285"/>
    </row>
    <row r="11" spans="1:22" ht="27" customHeight="1" x14ac:dyDescent="0.2">
      <c r="A11" s="290"/>
      <c r="B11" s="292"/>
      <c r="C11" s="252" t="s">
        <v>119</v>
      </c>
      <c r="D11" s="253" t="s">
        <v>120</v>
      </c>
      <c r="E11" s="252" t="s">
        <v>119</v>
      </c>
      <c r="F11" s="253" t="s">
        <v>120</v>
      </c>
      <c r="G11" s="252" t="s">
        <v>119</v>
      </c>
      <c r="H11" s="253" t="s">
        <v>120</v>
      </c>
      <c r="I11" s="252" t="s">
        <v>119</v>
      </c>
      <c r="J11" s="253" t="s">
        <v>120</v>
      </c>
      <c r="K11" s="252" t="s">
        <v>119</v>
      </c>
      <c r="L11" s="253" t="s">
        <v>120</v>
      </c>
      <c r="M11" s="252" t="s">
        <v>119</v>
      </c>
      <c r="N11" s="253" t="s">
        <v>120</v>
      </c>
      <c r="O11" s="252" t="s">
        <v>119</v>
      </c>
      <c r="P11" s="253" t="s">
        <v>120</v>
      </c>
      <c r="Q11" s="252" t="s">
        <v>119</v>
      </c>
      <c r="R11" s="253" t="s">
        <v>120</v>
      </c>
      <c r="S11" s="252" t="s">
        <v>119</v>
      </c>
      <c r="T11" s="253" t="s">
        <v>120</v>
      </c>
      <c r="U11" s="252" t="s">
        <v>119</v>
      </c>
      <c r="V11" s="253" t="s">
        <v>120</v>
      </c>
    </row>
    <row r="12" spans="1:22" ht="14.45" customHeight="1" x14ac:dyDescent="0.2">
      <c r="A12" s="214">
        <v>2.2000000000000002</v>
      </c>
      <c r="B12" s="254" t="s">
        <v>380</v>
      </c>
      <c r="C12" s="255"/>
      <c r="D12" s="255"/>
      <c r="E12" s="255"/>
      <c r="F12" s="255"/>
      <c r="G12" s="255"/>
      <c r="H12" s="255"/>
      <c r="I12" s="255"/>
      <c r="J12" s="255"/>
      <c r="K12" s="255"/>
      <c r="L12" s="256"/>
      <c r="M12" s="255"/>
      <c r="N12" s="255"/>
      <c r="O12" s="255"/>
      <c r="P12" s="255"/>
      <c r="Q12" s="255"/>
      <c r="R12" s="255"/>
      <c r="S12" s="255"/>
      <c r="T12" s="255"/>
      <c r="U12" s="255"/>
      <c r="V12" s="256"/>
    </row>
    <row r="13" spans="1:22" ht="28.5" customHeight="1" x14ac:dyDescent="0.2">
      <c r="A13" s="257"/>
      <c r="B13" s="258" t="s">
        <v>381</v>
      </c>
      <c r="C13" s="253" t="s">
        <v>123</v>
      </c>
      <c r="D13" s="259" t="s">
        <v>382</v>
      </c>
      <c r="E13" s="253" t="s">
        <v>123</v>
      </c>
      <c r="F13" s="259" t="s">
        <v>382</v>
      </c>
      <c r="G13" s="253" t="s">
        <v>123</v>
      </c>
      <c r="H13" s="259" t="s">
        <v>382</v>
      </c>
      <c r="I13" s="253" t="s">
        <v>123</v>
      </c>
      <c r="J13" s="259" t="s">
        <v>382</v>
      </c>
      <c r="K13" s="253" t="s">
        <v>123</v>
      </c>
      <c r="L13" s="259" t="s">
        <v>382</v>
      </c>
      <c r="M13" s="253" t="s">
        <v>123</v>
      </c>
      <c r="N13" s="259" t="s">
        <v>382</v>
      </c>
      <c r="O13" s="253" t="s">
        <v>123</v>
      </c>
      <c r="P13" s="259" t="s">
        <v>382</v>
      </c>
      <c r="Q13" s="253" t="s">
        <v>123</v>
      </c>
      <c r="R13" s="259" t="s">
        <v>382</v>
      </c>
      <c r="S13" s="253" t="s">
        <v>123</v>
      </c>
      <c r="T13" s="259" t="s">
        <v>382</v>
      </c>
      <c r="U13" s="253" t="s">
        <v>123</v>
      </c>
      <c r="V13" s="259" t="s">
        <v>382</v>
      </c>
    </row>
    <row r="14" spans="1:22" ht="24.75" customHeight="1" x14ac:dyDescent="0.2">
      <c r="A14" s="257"/>
      <c r="B14" s="260" t="s">
        <v>383</v>
      </c>
      <c r="C14" s="253" t="s">
        <v>123</v>
      </c>
      <c r="D14" s="259" t="s">
        <v>382</v>
      </c>
      <c r="E14" s="253" t="s">
        <v>123</v>
      </c>
      <c r="F14" s="259" t="s">
        <v>382</v>
      </c>
      <c r="G14" s="253" t="s">
        <v>123</v>
      </c>
      <c r="H14" s="259" t="s">
        <v>382</v>
      </c>
      <c r="I14" s="253" t="s">
        <v>123</v>
      </c>
      <c r="J14" s="259" t="s">
        <v>382</v>
      </c>
      <c r="K14" s="253" t="s">
        <v>123</v>
      </c>
      <c r="L14" s="259" t="s">
        <v>382</v>
      </c>
      <c r="M14" s="253" t="s">
        <v>123</v>
      </c>
      <c r="N14" s="259" t="s">
        <v>382</v>
      </c>
      <c r="O14" s="253" t="s">
        <v>123</v>
      </c>
      <c r="P14" s="259" t="s">
        <v>382</v>
      </c>
      <c r="Q14" s="253" t="s">
        <v>123</v>
      </c>
      <c r="R14" s="259" t="s">
        <v>382</v>
      </c>
      <c r="S14" s="253" t="s">
        <v>123</v>
      </c>
      <c r="T14" s="259" t="s">
        <v>382</v>
      </c>
      <c r="U14" s="253" t="s">
        <v>123</v>
      </c>
      <c r="V14" s="259" t="s">
        <v>382</v>
      </c>
    </row>
    <row r="15" spans="1:22" ht="24.75" customHeight="1" x14ac:dyDescent="0.2">
      <c r="A15" s="257"/>
      <c r="B15" s="260" t="s">
        <v>384</v>
      </c>
      <c r="C15" s="253" t="s">
        <v>123</v>
      </c>
      <c r="D15" s="259" t="s">
        <v>382</v>
      </c>
      <c r="E15" s="253" t="s">
        <v>123</v>
      </c>
      <c r="F15" s="259" t="s">
        <v>382</v>
      </c>
      <c r="G15" s="253" t="s">
        <v>123</v>
      </c>
      <c r="H15" s="259" t="s">
        <v>382</v>
      </c>
      <c r="I15" s="253" t="s">
        <v>123</v>
      </c>
      <c r="J15" s="259" t="s">
        <v>382</v>
      </c>
      <c r="K15" s="253" t="s">
        <v>123</v>
      </c>
      <c r="L15" s="259" t="s">
        <v>382</v>
      </c>
      <c r="M15" s="253" t="s">
        <v>123</v>
      </c>
      <c r="N15" s="259" t="s">
        <v>382</v>
      </c>
      <c r="O15" s="253" t="s">
        <v>123</v>
      </c>
      <c r="P15" s="259" t="s">
        <v>382</v>
      </c>
      <c r="Q15" s="253" t="s">
        <v>123</v>
      </c>
      <c r="R15" s="259" t="s">
        <v>382</v>
      </c>
      <c r="S15" s="253" t="s">
        <v>123</v>
      </c>
      <c r="T15" s="259" t="s">
        <v>382</v>
      </c>
      <c r="U15" s="253" t="s">
        <v>123</v>
      </c>
      <c r="V15" s="259" t="s">
        <v>382</v>
      </c>
    </row>
    <row r="16" spans="1:22" ht="24.75" customHeight="1" x14ac:dyDescent="0.2">
      <c r="A16" s="214"/>
      <c r="B16" s="260" t="s">
        <v>385</v>
      </c>
      <c r="C16" s="253" t="s">
        <v>123</v>
      </c>
      <c r="D16" s="259" t="s">
        <v>382</v>
      </c>
      <c r="E16" s="253" t="s">
        <v>123</v>
      </c>
      <c r="F16" s="259" t="s">
        <v>382</v>
      </c>
      <c r="G16" s="253" t="s">
        <v>123</v>
      </c>
      <c r="H16" s="259" t="s">
        <v>382</v>
      </c>
      <c r="I16" s="253" t="s">
        <v>123</v>
      </c>
      <c r="J16" s="259" t="s">
        <v>382</v>
      </c>
      <c r="K16" s="253" t="s">
        <v>123</v>
      </c>
      <c r="L16" s="259" t="s">
        <v>382</v>
      </c>
      <c r="M16" s="253" t="s">
        <v>123</v>
      </c>
      <c r="N16" s="259" t="s">
        <v>382</v>
      </c>
      <c r="O16" s="253" t="s">
        <v>123</v>
      </c>
      <c r="P16" s="259" t="s">
        <v>382</v>
      </c>
      <c r="Q16" s="253" t="s">
        <v>123</v>
      </c>
      <c r="R16" s="259" t="s">
        <v>382</v>
      </c>
      <c r="S16" s="253" t="s">
        <v>123</v>
      </c>
      <c r="T16" s="259" t="s">
        <v>382</v>
      </c>
      <c r="U16" s="253" t="s">
        <v>123</v>
      </c>
      <c r="V16" s="259" t="s">
        <v>382</v>
      </c>
    </row>
    <row r="17" spans="1:22" ht="24.75" customHeight="1" x14ac:dyDescent="0.2">
      <c r="A17" s="214"/>
      <c r="B17" s="260" t="s">
        <v>386</v>
      </c>
      <c r="C17" s="253" t="s">
        <v>123</v>
      </c>
      <c r="D17" s="259" t="s">
        <v>382</v>
      </c>
      <c r="E17" s="253" t="s">
        <v>123</v>
      </c>
      <c r="F17" s="259" t="s">
        <v>382</v>
      </c>
      <c r="G17" s="253" t="s">
        <v>123</v>
      </c>
      <c r="H17" s="259" t="s">
        <v>382</v>
      </c>
      <c r="I17" s="253" t="s">
        <v>123</v>
      </c>
      <c r="J17" s="259" t="s">
        <v>382</v>
      </c>
      <c r="K17" s="253" t="s">
        <v>123</v>
      </c>
      <c r="L17" s="259" t="s">
        <v>382</v>
      </c>
      <c r="M17" s="253" t="s">
        <v>123</v>
      </c>
      <c r="N17" s="259" t="s">
        <v>382</v>
      </c>
      <c r="O17" s="253" t="s">
        <v>123</v>
      </c>
      <c r="P17" s="259" t="s">
        <v>382</v>
      </c>
      <c r="Q17" s="253" t="s">
        <v>123</v>
      </c>
      <c r="R17" s="259" t="s">
        <v>382</v>
      </c>
      <c r="S17" s="253" t="s">
        <v>123</v>
      </c>
      <c r="T17" s="259" t="s">
        <v>382</v>
      </c>
      <c r="U17" s="253" t="s">
        <v>123</v>
      </c>
      <c r="V17" s="259" t="s">
        <v>382</v>
      </c>
    </row>
    <row r="18" spans="1:22" ht="24.75" customHeight="1" x14ac:dyDescent="0.2">
      <c r="A18" s="214"/>
      <c r="B18" s="260" t="s">
        <v>387</v>
      </c>
      <c r="C18" s="253" t="s">
        <v>123</v>
      </c>
      <c r="D18" s="259" t="s">
        <v>382</v>
      </c>
      <c r="E18" s="253" t="s">
        <v>123</v>
      </c>
      <c r="F18" s="259" t="s">
        <v>382</v>
      </c>
      <c r="G18" s="253" t="s">
        <v>123</v>
      </c>
      <c r="H18" s="259" t="s">
        <v>382</v>
      </c>
      <c r="I18" s="253" t="s">
        <v>123</v>
      </c>
      <c r="J18" s="259" t="s">
        <v>382</v>
      </c>
      <c r="K18" s="253" t="s">
        <v>123</v>
      </c>
      <c r="L18" s="259" t="s">
        <v>382</v>
      </c>
      <c r="M18" s="253" t="s">
        <v>123</v>
      </c>
      <c r="N18" s="259" t="s">
        <v>382</v>
      </c>
      <c r="O18" s="253" t="s">
        <v>123</v>
      </c>
      <c r="P18" s="259" t="s">
        <v>382</v>
      </c>
      <c r="Q18" s="253" t="s">
        <v>123</v>
      </c>
      <c r="R18" s="259" t="s">
        <v>382</v>
      </c>
      <c r="S18" s="253" t="s">
        <v>123</v>
      </c>
      <c r="T18" s="259" t="s">
        <v>382</v>
      </c>
      <c r="U18" s="253" t="s">
        <v>123</v>
      </c>
      <c r="V18" s="259" t="s">
        <v>382</v>
      </c>
    </row>
    <row r="19" spans="1:22" ht="24" customHeight="1" thickBot="1" x14ac:dyDescent="0.25">
      <c r="A19" s="261"/>
      <c r="B19" s="262"/>
      <c r="C19" s="253"/>
      <c r="D19" s="263"/>
      <c r="E19" s="253"/>
      <c r="F19" s="263"/>
      <c r="G19" s="253"/>
      <c r="H19" s="263"/>
      <c r="I19" s="253"/>
      <c r="J19" s="263"/>
      <c r="K19" s="253"/>
      <c r="L19" s="263"/>
      <c r="M19" s="253"/>
      <c r="N19" s="263"/>
      <c r="O19" s="253"/>
      <c r="P19" s="263"/>
      <c r="Q19" s="253"/>
      <c r="R19" s="263"/>
      <c r="S19" s="253"/>
      <c r="T19" s="263"/>
      <c r="U19" s="253"/>
      <c r="V19" s="263"/>
    </row>
    <row r="20" spans="1:22" s="113" customFormat="1" ht="19.5" customHeight="1" thickBot="1" x14ac:dyDescent="0.3">
      <c r="A20" s="286" t="s">
        <v>126</v>
      </c>
      <c r="B20" s="287"/>
      <c r="C20" s="286" t="s">
        <v>128</v>
      </c>
      <c r="D20" s="288"/>
      <c r="E20" s="286" t="s">
        <v>128</v>
      </c>
      <c r="F20" s="288"/>
      <c r="G20" s="286" t="s">
        <v>128</v>
      </c>
      <c r="H20" s="288"/>
      <c r="I20" s="286" t="s">
        <v>128</v>
      </c>
      <c r="J20" s="288"/>
      <c r="K20" s="286" t="s">
        <v>128</v>
      </c>
      <c r="L20" s="288"/>
      <c r="M20" s="286" t="s">
        <v>128</v>
      </c>
      <c r="N20" s="288"/>
      <c r="O20" s="286" t="s">
        <v>128</v>
      </c>
      <c r="P20" s="288"/>
      <c r="Q20" s="286" t="s">
        <v>128</v>
      </c>
      <c r="R20" s="288"/>
      <c r="S20" s="286" t="s">
        <v>128</v>
      </c>
      <c r="T20" s="288"/>
      <c r="U20" s="286" t="s">
        <v>128</v>
      </c>
      <c r="V20" s="288"/>
    </row>
    <row r="21" spans="1:22" x14ac:dyDescent="0.2">
      <c r="K21" s="114"/>
      <c r="L21" s="114"/>
      <c r="U21" s="114"/>
      <c r="V21" s="114"/>
    </row>
    <row r="22" spans="1:22" ht="25.5" customHeight="1" x14ac:dyDescent="0.2">
      <c r="B22" s="99" t="s">
        <v>129</v>
      </c>
      <c r="C22" s="264"/>
      <c r="D22" s="264"/>
      <c r="E22" s="264"/>
      <c r="F22" s="264"/>
      <c r="G22" s="264"/>
      <c r="H22" s="264"/>
      <c r="I22" s="264"/>
      <c r="J22" s="264"/>
      <c r="K22" s="264"/>
      <c r="L22" s="114"/>
      <c r="M22" s="114"/>
      <c r="N22" s="114"/>
      <c r="O22" s="114"/>
      <c r="P22" s="114"/>
      <c r="Q22" s="114"/>
      <c r="R22" s="114"/>
      <c r="S22" s="114"/>
      <c r="T22" s="114"/>
      <c r="U22" s="265"/>
      <c r="V22" s="114"/>
    </row>
    <row r="23" spans="1:22" ht="18.75" customHeight="1" x14ac:dyDescent="0.2">
      <c r="E23" s="265"/>
      <c r="K23" s="114"/>
      <c r="L23" s="114"/>
      <c r="M23" s="99"/>
      <c r="U23" s="114"/>
      <c r="V23" s="114"/>
    </row>
    <row r="24" spans="1:22" ht="15.75" x14ac:dyDescent="0.2">
      <c r="C24" s="117"/>
      <c r="K24" s="114"/>
      <c r="L24" s="114"/>
      <c r="M24" s="117"/>
      <c r="U24" s="114"/>
      <c r="V24" s="114"/>
    </row>
    <row r="25" spans="1:22" ht="15.75" x14ac:dyDescent="0.2">
      <c r="B25" s="118" t="s">
        <v>388</v>
      </c>
      <c r="C25" s="117"/>
      <c r="K25" s="114"/>
      <c r="L25" s="114"/>
      <c r="M25" s="117"/>
      <c r="U25" s="114"/>
      <c r="V25" s="114"/>
    </row>
    <row r="26" spans="1:22" ht="15.75" x14ac:dyDescent="0.25">
      <c r="B26" s="119" t="s">
        <v>131</v>
      </c>
      <c r="C26" s="117"/>
      <c r="K26" s="114"/>
      <c r="L26" s="114"/>
      <c r="M26" s="117"/>
      <c r="U26" s="114"/>
      <c r="V26" s="114"/>
    </row>
    <row r="27" spans="1:22" ht="13.5" customHeight="1" x14ac:dyDescent="0.2">
      <c r="C27" s="115"/>
      <c r="M27" s="115"/>
    </row>
    <row r="28" spans="1:22" ht="13.5" customHeight="1" x14ac:dyDescent="0.2">
      <c r="C28" s="115"/>
      <c r="M28" s="115"/>
    </row>
    <row r="29" spans="1:22" ht="13.5" customHeight="1" x14ac:dyDescent="0.2">
      <c r="C29" s="115"/>
      <c r="M29" s="115"/>
    </row>
    <row r="30" spans="1:22" ht="13.5" customHeight="1" x14ac:dyDescent="0.2">
      <c r="C30" s="115"/>
      <c r="M30" s="115"/>
    </row>
    <row r="31" spans="1:22" ht="13.5" customHeight="1" x14ac:dyDescent="0.2">
      <c r="B31" s="118"/>
      <c r="C31" s="115"/>
      <c r="M31" s="115"/>
    </row>
    <row r="32" spans="1:22" ht="13.5" customHeight="1" x14ac:dyDescent="0.25">
      <c r="B32" s="119"/>
      <c r="C32" s="115"/>
      <c r="M32" s="115"/>
    </row>
    <row r="33" spans="1:22" ht="15.75" x14ac:dyDescent="0.25">
      <c r="B33" s="119"/>
      <c r="F33" s="103"/>
      <c r="K33" s="103"/>
      <c r="L33" s="103"/>
      <c r="M33" s="118"/>
      <c r="P33" s="118"/>
      <c r="U33" s="103"/>
      <c r="V33" s="103"/>
    </row>
    <row r="34" spans="1:22" ht="15.75" x14ac:dyDescent="0.25">
      <c r="F34" s="103"/>
      <c r="K34" s="103"/>
      <c r="L34" s="103"/>
      <c r="M34" s="119"/>
      <c r="P34" s="119"/>
      <c r="U34" s="103"/>
      <c r="V34" s="103"/>
    </row>
    <row r="35" spans="1:22" s="115" customFormat="1" ht="15.75" x14ac:dyDescent="0.25">
      <c r="A35" s="114"/>
      <c r="C35" s="119"/>
      <c r="K35" s="103"/>
      <c r="L35" s="103"/>
      <c r="M35" s="119"/>
      <c r="P35" s="119"/>
      <c r="U35" s="103"/>
      <c r="V35" s="103"/>
    </row>
    <row r="36" spans="1:22" s="115" customFormat="1" ht="15.75" x14ac:dyDescent="0.25">
      <c r="A36" s="114"/>
      <c r="B36" s="119"/>
      <c r="C36" s="116"/>
      <c r="D36" s="116"/>
      <c r="K36" s="103"/>
      <c r="L36" s="103"/>
      <c r="M36" s="116"/>
      <c r="N36" s="116"/>
      <c r="U36" s="103"/>
      <c r="V36" s="103"/>
    </row>
    <row r="37" spans="1:22" s="115" customFormat="1" ht="15.75" x14ac:dyDescent="0.25">
      <c r="A37" s="114"/>
      <c r="B37" s="119"/>
      <c r="C37" s="116"/>
      <c r="D37" s="116"/>
      <c r="K37" s="103"/>
      <c r="L37" s="103"/>
      <c r="M37" s="116"/>
      <c r="N37" s="116"/>
      <c r="U37" s="103"/>
      <c r="V37" s="103"/>
    </row>
    <row r="38" spans="1:22" s="116" customFormat="1" ht="15.75" x14ac:dyDescent="0.25">
      <c r="A38" s="114"/>
      <c r="B38" s="119"/>
      <c r="E38" s="115"/>
      <c r="F38" s="115"/>
      <c r="G38" s="115"/>
      <c r="H38" s="115"/>
      <c r="I38" s="115"/>
      <c r="J38" s="115"/>
      <c r="K38" s="115"/>
      <c r="L38" s="115"/>
      <c r="O38" s="115"/>
      <c r="P38" s="115"/>
      <c r="Q38" s="115"/>
      <c r="R38" s="115"/>
      <c r="S38" s="115"/>
      <c r="T38" s="115"/>
      <c r="U38" s="115"/>
      <c r="V38" s="115"/>
    </row>
    <row r="39" spans="1:22" s="116" customFormat="1" x14ac:dyDescent="0.2">
      <c r="A39" s="114"/>
      <c r="B39" s="103"/>
      <c r="E39" s="115"/>
      <c r="F39" s="115"/>
      <c r="G39" s="115"/>
      <c r="H39" s="115"/>
      <c r="I39" s="115"/>
      <c r="J39" s="115"/>
      <c r="K39" s="115"/>
      <c r="L39" s="115"/>
      <c r="O39" s="115"/>
      <c r="P39" s="115"/>
      <c r="Q39" s="115"/>
      <c r="R39" s="115"/>
      <c r="S39" s="115"/>
      <c r="T39" s="115"/>
      <c r="U39" s="115"/>
      <c r="V39" s="115"/>
    </row>
    <row r="40" spans="1:22" s="116" customFormat="1" x14ac:dyDescent="0.2">
      <c r="A40" s="114"/>
      <c r="B40" s="103"/>
      <c r="E40" s="115"/>
      <c r="F40" s="115"/>
      <c r="G40" s="115"/>
      <c r="H40" s="115"/>
      <c r="I40" s="115"/>
      <c r="J40" s="115"/>
      <c r="K40" s="115"/>
      <c r="L40" s="115"/>
      <c r="O40" s="115"/>
      <c r="P40" s="115"/>
      <c r="Q40" s="115"/>
      <c r="R40" s="115"/>
      <c r="S40" s="115"/>
      <c r="T40" s="115"/>
      <c r="U40" s="115"/>
      <c r="V40" s="115"/>
    </row>
    <row r="41" spans="1:22" s="116" customFormat="1" x14ac:dyDescent="0.2">
      <c r="A41" s="114"/>
      <c r="B41" s="103"/>
      <c r="E41" s="115"/>
      <c r="F41" s="115"/>
      <c r="G41" s="115"/>
      <c r="H41" s="115"/>
      <c r="I41" s="115"/>
      <c r="J41" s="115"/>
      <c r="K41" s="115"/>
      <c r="L41" s="115"/>
      <c r="O41" s="115"/>
      <c r="P41" s="115"/>
      <c r="Q41" s="115"/>
      <c r="R41" s="115"/>
      <c r="S41" s="115"/>
      <c r="T41" s="115"/>
      <c r="U41" s="115"/>
      <c r="V41" s="115"/>
    </row>
  </sheetData>
  <mergeCells count="35">
    <mergeCell ref="A7:B7"/>
    <mergeCell ref="O7:V7"/>
    <mergeCell ref="C9:D9"/>
    <mergeCell ref="E9:F9"/>
    <mergeCell ref="G9:H9"/>
    <mergeCell ref="I9:J9"/>
    <mergeCell ref="K9:L9"/>
    <mergeCell ref="M9:N9"/>
    <mergeCell ref="O9:P9"/>
    <mergeCell ref="Q9:R9"/>
    <mergeCell ref="S9:T9"/>
    <mergeCell ref="U9:V9"/>
    <mergeCell ref="O10:P10"/>
    <mergeCell ref="Q10:R10"/>
    <mergeCell ref="A10:A11"/>
    <mergeCell ref="B10:B11"/>
    <mergeCell ref="C10:D10"/>
    <mergeCell ref="E10:F10"/>
    <mergeCell ref="G10:H10"/>
    <mergeCell ref="S10:T10"/>
    <mergeCell ref="U10:V10"/>
    <mergeCell ref="A20:B20"/>
    <mergeCell ref="C20:D20"/>
    <mergeCell ref="E20:F20"/>
    <mergeCell ref="G20:H20"/>
    <mergeCell ref="I20:J20"/>
    <mergeCell ref="K20:L20"/>
    <mergeCell ref="M20:N20"/>
    <mergeCell ref="O20:P20"/>
    <mergeCell ref="Q20:R20"/>
    <mergeCell ref="S20:T20"/>
    <mergeCell ref="U20:V20"/>
    <mergeCell ref="I10:J10"/>
    <mergeCell ref="K10:L10"/>
    <mergeCell ref="M10:N10"/>
  </mergeCells>
  <conditionalFormatting sqref="C20:D20">
    <cfRule type="cellIs" dxfId="279" priority="40" operator="equal">
      <formula>"NO HABIL"</formula>
    </cfRule>
  </conditionalFormatting>
  <conditionalFormatting sqref="C13:D14 C15:C16">
    <cfRule type="cellIs" dxfId="278" priority="39" operator="equal">
      <formula>"NO"</formula>
    </cfRule>
  </conditionalFormatting>
  <conditionalFormatting sqref="C17:C18">
    <cfRule type="cellIs" dxfId="277" priority="38" operator="equal">
      <formula>"NO"</formula>
    </cfRule>
  </conditionalFormatting>
  <conditionalFormatting sqref="D15:D18">
    <cfRule type="cellIs" dxfId="276" priority="37" operator="equal">
      <formula>"NO"</formula>
    </cfRule>
  </conditionalFormatting>
  <conditionalFormatting sqref="E20:F20">
    <cfRule type="cellIs" dxfId="275" priority="36" operator="equal">
      <formula>"NO HABIL"</formula>
    </cfRule>
  </conditionalFormatting>
  <conditionalFormatting sqref="E13:F14 E15:E16">
    <cfRule type="cellIs" dxfId="274" priority="35" operator="equal">
      <formula>"NO"</formula>
    </cfRule>
  </conditionalFormatting>
  <conditionalFormatting sqref="E17:E18">
    <cfRule type="cellIs" dxfId="273" priority="34" operator="equal">
      <formula>"NO"</formula>
    </cfRule>
  </conditionalFormatting>
  <conditionalFormatting sqref="F15:F18">
    <cfRule type="cellIs" dxfId="272" priority="33" operator="equal">
      <formula>"NO"</formula>
    </cfRule>
  </conditionalFormatting>
  <conditionalFormatting sqref="G20:H20">
    <cfRule type="cellIs" dxfId="271" priority="32" operator="equal">
      <formula>"NO HABIL"</formula>
    </cfRule>
  </conditionalFormatting>
  <conditionalFormatting sqref="G13:H14 G15:G16">
    <cfRule type="cellIs" dxfId="270" priority="31" operator="equal">
      <formula>"NO"</formula>
    </cfRule>
  </conditionalFormatting>
  <conditionalFormatting sqref="G17:G18">
    <cfRule type="cellIs" dxfId="269" priority="30" operator="equal">
      <formula>"NO"</formula>
    </cfRule>
  </conditionalFormatting>
  <conditionalFormatting sqref="H15:H18">
    <cfRule type="cellIs" dxfId="268" priority="29" operator="equal">
      <formula>"NO"</formula>
    </cfRule>
  </conditionalFormatting>
  <conditionalFormatting sqref="I20:J20">
    <cfRule type="cellIs" dxfId="267" priority="28" operator="equal">
      <formula>"NO HABIL"</formula>
    </cfRule>
  </conditionalFormatting>
  <conditionalFormatting sqref="I13:J14 I15:I16">
    <cfRule type="cellIs" dxfId="266" priority="27" operator="equal">
      <formula>"NO"</formula>
    </cfRule>
  </conditionalFormatting>
  <conditionalFormatting sqref="I17:I18">
    <cfRule type="cellIs" dxfId="265" priority="26" operator="equal">
      <formula>"NO"</formula>
    </cfRule>
  </conditionalFormatting>
  <conditionalFormatting sqref="J15:J18">
    <cfRule type="cellIs" dxfId="264" priority="25" operator="equal">
      <formula>"NO"</formula>
    </cfRule>
  </conditionalFormatting>
  <conditionalFormatting sqref="K20:L20">
    <cfRule type="cellIs" dxfId="263" priority="24" operator="equal">
      <formula>"NO HABIL"</formula>
    </cfRule>
  </conditionalFormatting>
  <conditionalFormatting sqref="K13:L14 K15:K16">
    <cfRule type="cellIs" dxfId="262" priority="23" operator="equal">
      <formula>"NO"</formula>
    </cfRule>
  </conditionalFormatting>
  <conditionalFormatting sqref="K17:K18">
    <cfRule type="cellIs" dxfId="261" priority="22" operator="equal">
      <formula>"NO"</formula>
    </cfRule>
  </conditionalFormatting>
  <conditionalFormatting sqref="L15:L18">
    <cfRule type="cellIs" dxfId="260" priority="21" operator="equal">
      <formula>"NO"</formula>
    </cfRule>
  </conditionalFormatting>
  <conditionalFormatting sqref="M20:N20">
    <cfRule type="cellIs" dxfId="259" priority="20" operator="equal">
      <formula>"NO HABIL"</formula>
    </cfRule>
  </conditionalFormatting>
  <conditionalFormatting sqref="M13:N14 M15:M16">
    <cfRule type="cellIs" dxfId="258" priority="19" operator="equal">
      <formula>"NO"</formula>
    </cfRule>
  </conditionalFormatting>
  <conditionalFormatting sqref="M17:M18">
    <cfRule type="cellIs" dxfId="257" priority="18" operator="equal">
      <formula>"NO"</formula>
    </cfRule>
  </conditionalFormatting>
  <conditionalFormatting sqref="N15:N18">
    <cfRule type="cellIs" dxfId="256" priority="17" operator="equal">
      <formula>"NO"</formula>
    </cfRule>
  </conditionalFormatting>
  <conditionalFormatting sqref="O20:P20">
    <cfRule type="cellIs" dxfId="255" priority="16" operator="equal">
      <formula>"NO HABIL"</formula>
    </cfRule>
  </conditionalFormatting>
  <conditionalFormatting sqref="O13:P14 O15:O16">
    <cfRule type="cellIs" dxfId="254" priority="15" operator="equal">
      <formula>"NO"</formula>
    </cfRule>
  </conditionalFormatting>
  <conditionalFormatting sqref="O17:O18">
    <cfRule type="cellIs" dxfId="253" priority="14" operator="equal">
      <formula>"NO"</formula>
    </cfRule>
  </conditionalFormatting>
  <conditionalFormatting sqref="P15:P18">
    <cfRule type="cellIs" dxfId="252" priority="13" operator="equal">
      <formula>"NO"</formula>
    </cfRule>
  </conditionalFormatting>
  <conditionalFormatting sqref="Q20:R20">
    <cfRule type="cellIs" dxfId="251" priority="12" operator="equal">
      <formula>"NO HABIL"</formula>
    </cfRule>
  </conditionalFormatting>
  <conditionalFormatting sqref="Q13:R14 Q15:Q16">
    <cfRule type="cellIs" dxfId="250" priority="11" operator="equal">
      <formula>"NO"</formula>
    </cfRule>
  </conditionalFormatting>
  <conditionalFormatting sqref="Q17:Q18">
    <cfRule type="cellIs" dxfId="249" priority="10" operator="equal">
      <formula>"NO"</formula>
    </cfRule>
  </conditionalFormatting>
  <conditionalFormatting sqref="R15:R18">
    <cfRule type="cellIs" dxfId="248" priority="9" operator="equal">
      <formula>"NO"</formula>
    </cfRule>
  </conditionalFormatting>
  <conditionalFormatting sqref="S20:T20">
    <cfRule type="cellIs" dxfId="247" priority="8" operator="equal">
      <formula>"NO HABIL"</formula>
    </cfRule>
  </conditionalFormatting>
  <conditionalFormatting sqref="S13:T14 S15:S16">
    <cfRule type="cellIs" dxfId="246" priority="7" operator="equal">
      <formula>"NO"</formula>
    </cfRule>
  </conditionalFormatting>
  <conditionalFormatting sqref="S17:S18">
    <cfRule type="cellIs" dxfId="245" priority="6" operator="equal">
      <formula>"NO"</formula>
    </cfRule>
  </conditionalFormatting>
  <conditionalFormatting sqref="T15:T18">
    <cfRule type="cellIs" dxfId="244" priority="5" operator="equal">
      <formula>"NO"</formula>
    </cfRule>
  </conditionalFormatting>
  <conditionalFormatting sqref="U20:V20">
    <cfRule type="cellIs" dxfId="243" priority="4" operator="equal">
      <formula>"NO HABIL"</formula>
    </cfRule>
  </conditionalFormatting>
  <conditionalFormatting sqref="U13:V14 U15:U16">
    <cfRule type="cellIs" dxfId="242" priority="3" operator="equal">
      <formula>"NO"</formula>
    </cfRule>
  </conditionalFormatting>
  <conditionalFormatting sqref="U17:U18">
    <cfRule type="cellIs" dxfId="241" priority="2" operator="equal">
      <formula>"NO"</formula>
    </cfRule>
  </conditionalFormatting>
  <conditionalFormatting sqref="V15:V18">
    <cfRule type="cellIs" dxfId="240" priority="1" operator="equal">
      <formula>"NO"</formula>
    </cfRule>
  </conditionalFormatting>
  <pageMargins left="0.59055118110236227" right="0.39370078740157483" top="0.51181102362204722" bottom="0.51181102362204722" header="0.31496062992125984" footer="0.31496062992125984"/>
  <pageSetup scale="9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W73"/>
  <sheetViews>
    <sheetView view="pageBreakPreview" topLeftCell="A9" zoomScale="60" zoomScaleNormal="80" zoomScalePageLayoutView="70" workbookViewId="0">
      <pane xSplit="2" ySplit="4" topLeftCell="I22" activePane="bottomRight" state="frozen"/>
      <selection activeCell="A9" sqref="A9"/>
      <selection pane="topRight" activeCell="C9" sqref="C9"/>
      <selection pane="bottomLeft" activeCell="A13" sqref="A13"/>
      <selection pane="bottomRight" activeCell="L44" sqref="L44"/>
    </sheetView>
  </sheetViews>
  <sheetFormatPr baseColWidth="10" defaultColWidth="11.42578125" defaultRowHeight="12.75" x14ac:dyDescent="0.2"/>
  <cols>
    <col min="1" max="1" width="8.28515625" style="114" customWidth="1"/>
    <col min="2" max="2" width="77" style="115" customWidth="1"/>
    <col min="3" max="3" width="15.7109375" style="116" customWidth="1"/>
    <col min="4" max="4" width="30.7109375" style="116" customWidth="1"/>
    <col min="5" max="5" width="15.7109375" style="115" customWidth="1"/>
    <col min="6" max="6" width="30.7109375" style="115" customWidth="1"/>
    <col min="7" max="7" width="15.7109375" style="115" customWidth="1"/>
    <col min="8" max="8" width="30.7109375" style="115" customWidth="1"/>
    <col min="9" max="9" width="15.7109375" style="115" customWidth="1"/>
    <col min="10" max="10" width="30.7109375" style="115" customWidth="1"/>
    <col min="11" max="11" width="15.7109375" style="115" customWidth="1"/>
    <col min="12" max="12" width="30.7109375" style="115" customWidth="1"/>
    <col min="13" max="13" width="15.7109375" style="115" customWidth="1"/>
    <col min="14" max="14" width="30.7109375" style="115" customWidth="1"/>
    <col min="15" max="15" width="15.7109375" style="115" customWidth="1"/>
    <col min="16" max="16" width="30.7109375" style="115" customWidth="1"/>
    <col min="17" max="17" width="15.7109375" style="115" customWidth="1"/>
    <col min="18" max="18" width="30.7109375" style="115" customWidth="1"/>
    <col min="19" max="19" width="15.7109375" style="115" customWidth="1"/>
    <col min="20" max="20" width="30.7109375" style="115" customWidth="1"/>
    <col min="21" max="21" width="15.7109375" style="115" customWidth="1"/>
    <col min="22" max="22" width="30.7109375" style="115" customWidth="1"/>
    <col min="23" max="23" width="21.140625" style="103" customWidth="1"/>
    <col min="24" max="16384" width="11.42578125" style="103"/>
  </cols>
  <sheetData>
    <row r="1" spans="1:22" s="96" customFormat="1" ht="17.25" customHeight="1" x14ac:dyDescent="0.25">
      <c r="A1" s="95" t="s">
        <v>115</v>
      </c>
      <c r="B1" s="95"/>
      <c r="C1" s="95"/>
      <c r="D1" s="95"/>
      <c r="E1" s="95"/>
      <c r="F1" s="95"/>
      <c r="G1" s="95"/>
      <c r="H1" s="95"/>
      <c r="I1" s="95"/>
      <c r="J1" s="95"/>
      <c r="K1" s="95"/>
      <c r="L1" s="95"/>
      <c r="M1" s="95"/>
      <c r="N1" s="95"/>
      <c r="O1" s="95"/>
      <c r="P1" s="95"/>
      <c r="Q1" s="95"/>
      <c r="R1" s="95"/>
      <c r="S1" s="95"/>
      <c r="T1" s="95"/>
      <c r="U1" s="95"/>
      <c r="V1" s="95"/>
    </row>
    <row r="2" spans="1:22" s="96" customFormat="1" ht="17.25" customHeight="1" x14ac:dyDescent="0.25">
      <c r="A2" s="95" t="s">
        <v>116</v>
      </c>
      <c r="B2" s="95"/>
      <c r="C2" s="95"/>
      <c r="D2" s="95"/>
      <c r="E2" s="95"/>
      <c r="F2" s="95"/>
      <c r="G2" s="95"/>
      <c r="H2" s="95"/>
      <c r="I2" s="95"/>
      <c r="J2" s="95"/>
      <c r="K2" s="95"/>
      <c r="L2" s="95"/>
      <c r="M2" s="95"/>
      <c r="N2" s="95"/>
      <c r="O2" s="95"/>
      <c r="P2" s="95"/>
      <c r="Q2" s="95"/>
      <c r="R2" s="95"/>
      <c r="S2" s="95"/>
      <c r="T2" s="95"/>
      <c r="U2" s="95"/>
      <c r="V2" s="95"/>
    </row>
    <row r="3" spans="1:22" s="96" customFormat="1" ht="8.25" customHeight="1" x14ac:dyDescent="0.25">
      <c r="A3" s="98"/>
      <c r="B3" s="98"/>
      <c r="C3" s="98"/>
      <c r="D3" s="98"/>
      <c r="E3" s="98"/>
      <c r="F3" s="98"/>
      <c r="G3" s="98"/>
      <c r="H3" s="98"/>
      <c r="I3" s="98"/>
      <c r="J3" s="98"/>
      <c r="K3" s="98"/>
      <c r="L3" s="98"/>
      <c r="M3" s="98"/>
      <c r="N3" s="98"/>
      <c r="O3" s="98"/>
      <c r="P3" s="98"/>
      <c r="Q3" s="98"/>
      <c r="R3" s="98"/>
      <c r="S3" s="98"/>
      <c r="T3" s="98"/>
      <c r="U3" s="98"/>
      <c r="V3" s="98"/>
    </row>
    <row r="4" spans="1:22" s="96" customFormat="1" ht="17.25" customHeight="1" x14ac:dyDescent="0.25">
      <c r="A4" s="95" t="s">
        <v>174</v>
      </c>
      <c r="B4" s="95"/>
      <c r="C4" s="95"/>
      <c r="D4" s="95"/>
      <c r="E4" s="95"/>
      <c r="F4" s="95"/>
      <c r="G4" s="95"/>
      <c r="H4" s="95"/>
      <c r="I4" s="95"/>
      <c r="J4" s="95"/>
      <c r="K4" s="95"/>
      <c r="L4" s="95"/>
      <c r="M4" s="95"/>
      <c r="N4" s="95"/>
      <c r="O4" s="95"/>
      <c r="P4" s="95"/>
      <c r="Q4" s="95"/>
      <c r="R4" s="95"/>
      <c r="S4" s="95"/>
      <c r="T4" s="95"/>
      <c r="U4" s="95"/>
      <c r="V4" s="95"/>
    </row>
    <row r="5" spans="1:22" s="96" customFormat="1" ht="16.5" customHeight="1" x14ac:dyDescent="0.25">
      <c r="A5" s="95" t="s">
        <v>322</v>
      </c>
      <c r="B5" s="95"/>
      <c r="C5" s="95"/>
      <c r="D5" s="95"/>
      <c r="E5" s="95"/>
      <c r="F5" s="95"/>
      <c r="G5" s="95"/>
      <c r="H5" s="95"/>
      <c r="I5" s="95"/>
      <c r="J5" s="95"/>
      <c r="K5" s="95"/>
      <c r="L5" s="95"/>
      <c r="M5" s="95"/>
      <c r="N5" s="95"/>
      <c r="O5" s="95"/>
      <c r="P5" s="95"/>
      <c r="Q5" s="95"/>
      <c r="R5" s="95"/>
      <c r="S5" s="95"/>
      <c r="T5" s="95"/>
      <c r="U5" s="95"/>
      <c r="V5" s="95"/>
    </row>
    <row r="6" spans="1:22" s="96" customFormat="1" ht="9.75" customHeight="1" x14ac:dyDescent="0.25">
      <c r="A6" s="98"/>
      <c r="B6" s="98"/>
      <c r="C6" s="98"/>
      <c r="D6" s="98"/>
      <c r="E6" s="98"/>
      <c r="F6" s="98"/>
      <c r="G6" s="98"/>
      <c r="H6" s="98"/>
      <c r="I6" s="98"/>
      <c r="J6" s="98"/>
      <c r="K6" s="98"/>
      <c r="L6" s="98"/>
      <c r="M6" s="98"/>
      <c r="N6" s="98"/>
      <c r="O6" s="98"/>
      <c r="P6" s="98"/>
      <c r="Q6" s="98"/>
      <c r="R6" s="98"/>
      <c r="S6" s="98"/>
      <c r="T6" s="98"/>
      <c r="U6" s="98"/>
      <c r="V6" s="98"/>
    </row>
    <row r="7" spans="1:22" s="96" customFormat="1" ht="85.5" customHeight="1" x14ac:dyDescent="0.25">
      <c r="A7" s="298" t="s">
        <v>320</v>
      </c>
      <c r="B7" s="298"/>
      <c r="C7" s="158"/>
      <c r="D7" s="158"/>
      <c r="E7" s="158"/>
      <c r="F7" s="158"/>
      <c r="G7" s="158"/>
      <c r="H7" s="158"/>
      <c r="I7" s="158"/>
      <c r="J7" s="158"/>
      <c r="K7" s="158"/>
      <c r="L7" s="158"/>
      <c r="M7" s="158"/>
      <c r="N7" s="158"/>
      <c r="O7" s="158"/>
      <c r="P7" s="158"/>
      <c r="Q7" s="158"/>
      <c r="R7" s="158"/>
      <c r="S7" s="158"/>
      <c r="T7" s="158"/>
      <c r="U7" s="158"/>
      <c r="V7" s="158"/>
    </row>
    <row r="8" spans="1:22" s="96" customFormat="1" ht="15.75" x14ac:dyDescent="0.25">
      <c r="A8" s="101"/>
      <c r="B8" s="101"/>
      <c r="C8" s="102"/>
      <c r="D8" s="102"/>
      <c r="E8" s="102"/>
      <c r="F8" s="102"/>
      <c r="G8" s="102"/>
      <c r="H8" s="102"/>
      <c r="I8" s="102"/>
      <c r="J8" s="102"/>
      <c r="K8" s="102"/>
      <c r="L8" s="102"/>
      <c r="M8" s="102"/>
      <c r="N8" s="102"/>
      <c r="O8" s="102"/>
      <c r="P8" s="102"/>
      <c r="Q8" s="102"/>
      <c r="R8" s="102"/>
      <c r="S8" s="102"/>
      <c r="T8" s="102"/>
      <c r="U8" s="102"/>
      <c r="V8" s="102"/>
    </row>
    <row r="9" spans="1:22" x14ac:dyDescent="0.2">
      <c r="A9" s="301" t="s">
        <v>0</v>
      </c>
      <c r="B9" s="301" t="s">
        <v>117</v>
      </c>
      <c r="C9" s="299">
        <v>1</v>
      </c>
      <c r="D9" s="299"/>
      <c r="E9" s="299">
        <v>2</v>
      </c>
      <c r="F9" s="299"/>
      <c r="G9" s="299">
        <v>3</v>
      </c>
      <c r="H9" s="299"/>
      <c r="I9" s="299">
        <v>4</v>
      </c>
      <c r="J9" s="299"/>
      <c r="K9" s="299">
        <v>5</v>
      </c>
      <c r="L9" s="299"/>
      <c r="M9" s="299">
        <v>6</v>
      </c>
      <c r="N9" s="299"/>
      <c r="O9" s="299">
        <v>7</v>
      </c>
      <c r="P9" s="299"/>
      <c r="Q9" s="299">
        <v>8</v>
      </c>
      <c r="R9" s="299"/>
      <c r="S9" s="299">
        <v>9</v>
      </c>
      <c r="T9" s="299"/>
      <c r="U9" s="299">
        <v>10</v>
      </c>
      <c r="V9" s="299"/>
    </row>
    <row r="10" spans="1:22" ht="39.950000000000003" customHeight="1" x14ac:dyDescent="0.2">
      <c r="A10" s="302"/>
      <c r="B10" s="303"/>
      <c r="C10" s="300" t="s">
        <v>150</v>
      </c>
      <c r="D10" s="300"/>
      <c r="E10" s="300" t="s">
        <v>149</v>
      </c>
      <c r="F10" s="300"/>
      <c r="G10" s="300" t="s">
        <v>148</v>
      </c>
      <c r="H10" s="300"/>
      <c r="I10" s="300" t="s">
        <v>172</v>
      </c>
      <c r="J10" s="300"/>
      <c r="K10" s="300" t="s">
        <v>175</v>
      </c>
      <c r="L10" s="300"/>
      <c r="M10" s="300" t="s">
        <v>176</v>
      </c>
      <c r="N10" s="300"/>
      <c r="O10" s="300" t="s">
        <v>177</v>
      </c>
      <c r="P10" s="300"/>
      <c r="Q10" s="300" t="s">
        <v>147</v>
      </c>
      <c r="R10" s="300"/>
      <c r="S10" s="300" t="s">
        <v>178</v>
      </c>
      <c r="T10" s="300"/>
      <c r="U10" s="300" t="s">
        <v>179</v>
      </c>
      <c r="V10" s="300"/>
    </row>
    <row r="11" spans="1:22" ht="39.950000000000003" customHeight="1" x14ac:dyDescent="0.2">
      <c r="A11" s="303"/>
      <c r="B11" s="104" t="s">
        <v>118</v>
      </c>
      <c r="C11" s="104" t="s">
        <v>119</v>
      </c>
      <c r="D11" s="105" t="s">
        <v>120</v>
      </c>
      <c r="E11" s="104" t="s">
        <v>119</v>
      </c>
      <c r="F11" s="105" t="s">
        <v>120</v>
      </c>
      <c r="G11" s="104" t="s">
        <v>119</v>
      </c>
      <c r="H11" s="105" t="s">
        <v>120</v>
      </c>
      <c r="I11" s="104" t="s">
        <v>119</v>
      </c>
      <c r="J11" s="105" t="s">
        <v>120</v>
      </c>
      <c r="K11" s="104" t="s">
        <v>119</v>
      </c>
      <c r="L11" s="105" t="s">
        <v>120</v>
      </c>
      <c r="M11" s="104" t="s">
        <v>119</v>
      </c>
      <c r="N11" s="105" t="s">
        <v>120</v>
      </c>
      <c r="O11" s="104" t="s">
        <v>119</v>
      </c>
      <c r="P11" s="105" t="s">
        <v>120</v>
      </c>
      <c r="Q11" s="104" t="s">
        <v>119</v>
      </c>
      <c r="R11" s="105" t="s">
        <v>120</v>
      </c>
      <c r="S11" s="104" t="s">
        <v>119</v>
      </c>
      <c r="T11" s="105" t="s">
        <v>120</v>
      </c>
      <c r="U11" s="104" t="s">
        <v>119</v>
      </c>
      <c r="V11" s="105" t="s">
        <v>120</v>
      </c>
    </row>
    <row r="12" spans="1:22" ht="24.95" customHeight="1" x14ac:dyDescent="0.2">
      <c r="A12" s="106" t="s">
        <v>152</v>
      </c>
      <c r="B12" s="107" t="s">
        <v>121</v>
      </c>
      <c r="C12" s="108"/>
      <c r="D12" s="108"/>
      <c r="E12" s="108"/>
      <c r="F12" s="108"/>
      <c r="G12" s="108"/>
      <c r="H12" s="108"/>
      <c r="I12" s="108"/>
      <c r="J12" s="108"/>
      <c r="K12" s="108"/>
      <c r="L12" s="108"/>
      <c r="M12" s="108"/>
      <c r="N12" s="108"/>
      <c r="O12" s="108"/>
      <c r="P12" s="108"/>
      <c r="Q12" s="108"/>
      <c r="R12" s="108"/>
      <c r="S12" s="108"/>
      <c r="T12" s="108"/>
      <c r="U12" s="108"/>
      <c r="V12" s="108"/>
    </row>
    <row r="13" spans="1:22" ht="290.25" customHeight="1" x14ac:dyDescent="0.2">
      <c r="A13" s="146"/>
      <c r="B13" s="157" t="s">
        <v>180</v>
      </c>
      <c r="C13" s="145" t="str">
        <f>+C14</f>
        <v>SI</v>
      </c>
      <c r="D13" s="145" t="s">
        <v>192</v>
      </c>
      <c r="E13" s="145" t="str">
        <f>+E14</f>
        <v>SI</v>
      </c>
      <c r="F13" s="145" t="s">
        <v>192</v>
      </c>
      <c r="G13" s="145" t="str">
        <f>+G14</f>
        <v>SI</v>
      </c>
      <c r="H13" s="145" t="s">
        <v>199</v>
      </c>
      <c r="I13" s="145" t="str">
        <f>+I14</f>
        <v>SI</v>
      </c>
      <c r="J13" s="145" t="s">
        <v>192</v>
      </c>
      <c r="K13" s="145" t="str">
        <f>+K14</f>
        <v>SI</v>
      </c>
      <c r="L13" s="145" t="s">
        <v>192</v>
      </c>
      <c r="M13" s="145" t="str">
        <f>+M14</f>
        <v>SI</v>
      </c>
      <c r="N13" s="145" t="s">
        <v>192</v>
      </c>
      <c r="O13" s="145" t="str">
        <f>+O14</f>
        <v>SI</v>
      </c>
      <c r="P13" s="145" t="s">
        <v>208</v>
      </c>
      <c r="Q13" s="145" t="str">
        <f>+Q14</f>
        <v>SI</v>
      </c>
      <c r="R13" s="145" t="s">
        <v>192</v>
      </c>
      <c r="S13" s="145" t="str">
        <f>+S14</f>
        <v>SI</v>
      </c>
      <c r="T13" s="145" t="s">
        <v>212</v>
      </c>
      <c r="U13" s="145" t="str">
        <f>+U14</f>
        <v>SI</v>
      </c>
      <c r="V13" s="145" t="s">
        <v>192</v>
      </c>
    </row>
    <row r="14" spans="1:22" s="96" customFormat="1" ht="48.75" customHeight="1" x14ac:dyDescent="0.25">
      <c r="A14" s="109"/>
      <c r="B14" s="187" t="s">
        <v>181</v>
      </c>
      <c r="C14" s="178" t="str">
        <f>+IF(D14&gt;=VTE!$D$6,"SI","NO")</f>
        <v>SI</v>
      </c>
      <c r="D14" s="179">
        <f>+VTE!G6</f>
        <v>4436412695</v>
      </c>
      <c r="E14" s="178" t="str">
        <f>+IF(F14&gt;=VTE!$D$6,"SI","NO")</f>
        <v>SI</v>
      </c>
      <c r="F14" s="180">
        <f>+VTE!K6</f>
        <v>14172617362</v>
      </c>
      <c r="G14" s="178" t="str">
        <f>+IF(H14&gt;=VTE!$D$6,"SI","NO")</f>
        <v>SI</v>
      </c>
      <c r="H14" s="180">
        <f>+VTE!O6</f>
        <v>8863700685</v>
      </c>
      <c r="I14" s="178" t="str">
        <f>+IF(J14&gt;=VTE!$D$6,"SI","NO")</f>
        <v>SI</v>
      </c>
      <c r="J14" s="180">
        <f>+VTE!S6</f>
        <v>4025876209</v>
      </c>
      <c r="K14" s="178" t="str">
        <f>+IF(L14&gt;=VTE!$D$6,"SI","NO")</f>
        <v>SI</v>
      </c>
      <c r="L14" s="180">
        <f>+VTE!W6</f>
        <v>3525640853</v>
      </c>
      <c r="M14" s="178" t="str">
        <f>+IF(N14&gt;=VTE!$D$6,"SI","NO")</f>
        <v>SI</v>
      </c>
      <c r="N14" s="180">
        <f>+VTE!AA6</f>
        <v>914064492</v>
      </c>
      <c r="O14" s="178" t="str">
        <f>+IF(P14&gt;=VTE!$D$6,"SI","NO")</f>
        <v>SI</v>
      </c>
      <c r="P14" s="180">
        <f>+VTE!AE6</f>
        <v>2549614621</v>
      </c>
      <c r="Q14" s="178" t="str">
        <f>+IF(R14&gt;=VTE!$D$6,"SI","NO")</f>
        <v>SI</v>
      </c>
      <c r="R14" s="180">
        <f>+VTE!AI6</f>
        <v>3054556090</v>
      </c>
      <c r="S14" s="178" t="str">
        <f>+IF(T14&gt;=VTE!$D$6,"SI","NO")</f>
        <v>SI</v>
      </c>
      <c r="T14" s="180">
        <f>+VTE!AM6</f>
        <v>5577190838</v>
      </c>
      <c r="U14" s="178" t="str">
        <f>+IF(V14&gt;=VTE!$D$6,"SI","NO")</f>
        <v>SI</v>
      </c>
      <c r="V14" s="180">
        <f>+VTE!AQ6</f>
        <v>1255973317</v>
      </c>
    </row>
    <row r="15" spans="1:22" s="96" customFormat="1" ht="98.25" customHeight="1" x14ac:dyDescent="0.25">
      <c r="A15" s="109"/>
      <c r="B15" s="188" t="s">
        <v>182</v>
      </c>
      <c r="C15" s="181" t="s">
        <v>123</v>
      </c>
      <c r="D15" s="181"/>
      <c r="E15" s="181" t="s">
        <v>124</v>
      </c>
      <c r="F15" s="181" t="s">
        <v>124</v>
      </c>
      <c r="G15" s="181" t="s">
        <v>124</v>
      </c>
      <c r="H15" s="181" t="s">
        <v>124</v>
      </c>
      <c r="I15" s="181" t="s">
        <v>124</v>
      </c>
      <c r="J15" s="181" t="s">
        <v>124</v>
      </c>
      <c r="K15" s="181" t="s">
        <v>124</v>
      </c>
      <c r="L15" s="181" t="s">
        <v>124</v>
      </c>
      <c r="M15" s="181" t="s">
        <v>123</v>
      </c>
      <c r="N15" s="181"/>
      <c r="O15" s="181" t="s">
        <v>123</v>
      </c>
      <c r="P15" s="181"/>
      <c r="Q15" s="181" t="s">
        <v>124</v>
      </c>
      <c r="R15" s="181" t="s">
        <v>124</v>
      </c>
      <c r="S15" s="181" t="s">
        <v>124</v>
      </c>
      <c r="T15" s="181" t="s">
        <v>124</v>
      </c>
      <c r="U15" s="181" t="s">
        <v>123</v>
      </c>
      <c r="V15" s="181"/>
    </row>
    <row r="16" spans="1:22" s="96" customFormat="1" ht="105.75" customHeight="1" x14ac:dyDescent="0.25">
      <c r="A16" s="109"/>
      <c r="B16" s="188" t="s">
        <v>183</v>
      </c>
      <c r="C16" s="181" t="s">
        <v>123</v>
      </c>
      <c r="D16" s="181"/>
      <c r="E16" s="181" t="s">
        <v>124</v>
      </c>
      <c r="F16" s="181" t="s">
        <v>124</v>
      </c>
      <c r="G16" s="181" t="s">
        <v>124</v>
      </c>
      <c r="H16" s="181" t="s">
        <v>124</v>
      </c>
      <c r="I16" s="181" t="s">
        <v>124</v>
      </c>
      <c r="J16" s="181" t="s">
        <v>124</v>
      </c>
      <c r="K16" s="181" t="s">
        <v>124</v>
      </c>
      <c r="L16" s="181" t="s">
        <v>124</v>
      </c>
      <c r="M16" s="181" t="s">
        <v>123</v>
      </c>
      <c r="N16" s="181"/>
      <c r="O16" s="181" t="s">
        <v>123</v>
      </c>
      <c r="P16" s="181"/>
      <c r="Q16" s="181" t="s">
        <v>124</v>
      </c>
      <c r="R16" s="181" t="s">
        <v>124</v>
      </c>
      <c r="S16" s="181" t="s">
        <v>124</v>
      </c>
      <c r="T16" s="181" t="s">
        <v>124</v>
      </c>
      <c r="U16" s="181" t="s">
        <v>123</v>
      </c>
      <c r="V16" s="200"/>
    </row>
    <row r="17" spans="1:23" s="96" customFormat="1" ht="105.75" customHeight="1" x14ac:dyDescent="0.25">
      <c r="A17" s="183"/>
      <c r="B17" s="193" t="s">
        <v>193</v>
      </c>
      <c r="C17" s="182" t="s">
        <v>123</v>
      </c>
      <c r="D17" s="182"/>
      <c r="E17" s="182" t="s">
        <v>123</v>
      </c>
      <c r="F17" s="182"/>
      <c r="G17" s="182" t="s">
        <v>123</v>
      </c>
      <c r="H17" s="182"/>
      <c r="I17" s="182" t="s">
        <v>123</v>
      </c>
      <c r="J17" s="182"/>
      <c r="K17" s="182" t="s">
        <v>123</v>
      </c>
      <c r="L17" s="182"/>
      <c r="M17" s="194" t="s">
        <v>123</v>
      </c>
      <c r="N17" s="197"/>
      <c r="O17" s="182" t="s">
        <v>123</v>
      </c>
      <c r="P17" s="182"/>
      <c r="Q17" s="182" t="s">
        <v>123</v>
      </c>
      <c r="R17" s="182"/>
      <c r="S17" s="182" t="s">
        <v>122</v>
      </c>
      <c r="T17" s="197" t="s">
        <v>209</v>
      </c>
      <c r="U17" s="182" t="s">
        <v>123</v>
      </c>
      <c r="V17" s="182"/>
    </row>
    <row r="18" spans="1:23" ht="24.95" customHeight="1" x14ac:dyDescent="0.2">
      <c r="A18" s="106" t="s">
        <v>166</v>
      </c>
      <c r="B18" s="110" t="s">
        <v>125</v>
      </c>
      <c r="C18" s="111"/>
      <c r="D18" s="111"/>
      <c r="E18" s="111"/>
      <c r="F18" s="111"/>
      <c r="G18" s="111"/>
      <c r="H18" s="111"/>
      <c r="I18" s="111"/>
      <c r="J18" s="111"/>
      <c r="K18" s="111"/>
      <c r="L18" s="111"/>
      <c r="M18" s="111"/>
      <c r="N18" s="111"/>
      <c r="O18" s="111"/>
      <c r="P18" s="111"/>
      <c r="Q18" s="111"/>
      <c r="R18" s="111"/>
      <c r="S18" s="111"/>
      <c r="T18" s="111"/>
      <c r="U18" s="111"/>
      <c r="V18" s="111"/>
    </row>
    <row r="19" spans="1:23" ht="81.75" customHeight="1" x14ac:dyDescent="0.2">
      <c r="A19" s="306"/>
      <c r="B19" s="157" t="s">
        <v>189</v>
      </c>
      <c r="C19" s="145" t="s">
        <v>123</v>
      </c>
      <c r="D19" s="145" t="s">
        <v>156</v>
      </c>
      <c r="E19" s="145" t="s">
        <v>123</v>
      </c>
      <c r="F19" s="145" t="s">
        <v>157</v>
      </c>
      <c r="G19" s="145" t="s">
        <v>123</v>
      </c>
      <c r="H19" s="145" t="s">
        <v>197</v>
      </c>
      <c r="I19" s="145" t="s">
        <v>123</v>
      </c>
      <c r="J19" s="145" t="s">
        <v>159</v>
      </c>
      <c r="K19" s="145" t="s">
        <v>123</v>
      </c>
      <c r="L19" s="145" t="s">
        <v>202</v>
      </c>
      <c r="M19" s="145" t="s">
        <v>123</v>
      </c>
      <c r="N19" s="145" t="s">
        <v>200</v>
      </c>
      <c r="O19" s="145" t="s">
        <v>123</v>
      </c>
      <c r="P19" s="145" t="s">
        <v>167</v>
      </c>
      <c r="Q19" s="145" t="s">
        <v>123</v>
      </c>
      <c r="R19" s="145" t="s">
        <v>204</v>
      </c>
      <c r="S19" s="145" t="s">
        <v>123</v>
      </c>
      <c r="T19" s="145" t="s">
        <v>210</v>
      </c>
      <c r="U19" s="145" t="s">
        <v>123</v>
      </c>
      <c r="V19" s="145" t="s">
        <v>213</v>
      </c>
    </row>
    <row r="20" spans="1:23" ht="72" customHeight="1" x14ac:dyDescent="0.2">
      <c r="A20" s="307"/>
      <c r="B20" s="157" t="s">
        <v>190</v>
      </c>
      <c r="C20" s="145" t="s">
        <v>123</v>
      </c>
      <c r="D20" s="145" t="s">
        <v>162</v>
      </c>
      <c r="E20" s="145" t="s">
        <v>123</v>
      </c>
      <c r="F20" s="145" t="s">
        <v>158</v>
      </c>
      <c r="G20" s="145" t="s">
        <v>123</v>
      </c>
      <c r="H20" s="145" t="s">
        <v>198</v>
      </c>
      <c r="I20" s="145" t="s">
        <v>123</v>
      </c>
      <c r="J20" s="145" t="s">
        <v>160</v>
      </c>
      <c r="K20" s="145" t="s">
        <v>123</v>
      </c>
      <c r="L20" s="145" t="s">
        <v>167</v>
      </c>
      <c r="M20" s="145" t="s">
        <v>123</v>
      </c>
      <c r="N20" s="145" t="s">
        <v>201</v>
      </c>
      <c r="O20" s="145" t="s">
        <v>123</v>
      </c>
      <c r="P20" s="145" t="s">
        <v>207</v>
      </c>
      <c r="Q20" s="145" t="s">
        <v>123</v>
      </c>
      <c r="R20" s="145" t="s">
        <v>205</v>
      </c>
      <c r="S20" s="145" t="s">
        <v>123</v>
      </c>
      <c r="T20" s="145" t="s">
        <v>211</v>
      </c>
      <c r="U20" s="145" t="s">
        <v>123</v>
      </c>
      <c r="V20" s="145" t="s">
        <v>214</v>
      </c>
    </row>
    <row r="21" spans="1:23" ht="64.5" customHeight="1" x14ac:dyDescent="0.2">
      <c r="A21" s="308"/>
      <c r="B21" s="157" t="s">
        <v>191</v>
      </c>
      <c r="C21" s="145" t="s">
        <v>123</v>
      </c>
      <c r="D21" s="145" t="s">
        <v>188</v>
      </c>
      <c r="E21" s="145" t="s">
        <v>123</v>
      </c>
      <c r="F21" s="145" t="s">
        <v>155</v>
      </c>
      <c r="G21" s="145" t="s">
        <v>123</v>
      </c>
      <c r="H21" s="145" t="s">
        <v>165</v>
      </c>
      <c r="I21" s="145" t="s">
        <v>123</v>
      </c>
      <c r="J21" s="145" t="s">
        <v>164</v>
      </c>
      <c r="K21" s="145" t="s">
        <v>123</v>
      </c>
      <c r="L21" s="145" t="s">
        <v>203</v>
      </c>
      <c r="M21" s="145" t="s">
        <v>123</v>
      </c>
      <c r="N21" s="145" t="s">
        <v>161</v>
      </c>
      <c r="O21" s="145" t="s">
        <v>123</v>
      </c>
      <c r="P21" s="145" t="s">
        <v>206</v>
      </c>
      <c r="Q21" s="145" t="s">
        <v>123</v>
      </c>
      <c r="R21" s="145" t="s">
        <v>203</v>
      </c>
      <c r="S21" s="145" t="s">
        <v>123</v>
      </c>
      <c r="T21" s="145" t="s">
        <v>164</v>
      </c>
      <c r="U21" s="145" t="s">
        <v>123</v>
      </c>
      <c r="V21" s="145" t="s">
        <v>203</v>
      </c>
    </row>
    <row r="22" spans="1:23" ht="24.95" customHeight="1" x14ac:dyDescent="0.2">
      <c r="A22" s="106"/>
      <c r="B22" s="110" t="s">
        <v>135</v>
      </c>
      <c r="C22" s="111"/>
      <c r="D22" s="111"/>
      <c r="E22" s="111"/>
      <c r="F22" s="111"/>
      <c r="G22" s="111"/>
      <c r="H22" s="111"/>
      <c r="I22" s="111"/>
      <c r="J22" s="111"/>
      <c r="K22" s="111"/>
      <c r="L22" s="111"/>
      <c r="M22" s="111"/>
      <c r="N22" s="111"/>
      <c r="O22" s="111"/>
      <c r="P22" s="111"/>
      <c r="Q22" s="111"/>
      <c r="R22" s="111"/>
      <c r="S22" s="111"/>
      <c r="T22" s="111"/>
      <c r="U22" s="111"/>
      <c r="V22" s="111"/>
    </row>
    <row r="23" spans="1:23" ht="48.75" customHeight="1" x14ac:dyDescent="0.2">
      <c r="A23" s="104"/>
      <c r="B23" s="161" t="s">
        <v>136</v>
      </c>
      <c r="C23" s="178" t="s">
        <v>123</v>
      </c>
      <c r="D23" s="177">
        <v>352618704</v>
      </c>
      <c r="E23" s="178" t="s">
        <v>123</v>
      </c>
      <c r="F23" s="177">
        <v>353132313</v>
      </c>
      <c r="G23" s="178" t="s">
        <v>123</v>
      </c>
      <c r="H23" s="177">
        <v>351647012</v>
      </c>
      <c r="I23" s="178" t="s">
        <v>123</v>
      </c>
      <c r="J23" s="177">
        <v>350919958</v>
      </c>
      <c r="K23" s="178" t="s">
        <v>122</v>
      </c>
      <c r="L23" s="177" t="s">
        <v>321</v>
      </c>
      <c r="M23" s="178" t="s">
        <v>123</v>
      </c>
      <c r="N23" s="177">
        <v>351772053</v>
      </c>
      <c r="O23" s="178" t="s">
        <v>123</v>
      </c>
      <c r="P23" s="177">
        <v>352196676</v>
      </c>
      <c r="Q23" s="178" t="s">
        <v>123</v>
      </c>
      <c r="R23" s="177">
        <v>351494963</v>
      </c>
      <c r="S23" s="178" t="s">
        <v>123</v>
      </c>
      <c r="T23" s="177">
        <v>352657708</v>
      </c>
      <c r="U23" s="178" t="s">
        <v>123</v>
      </c>
      <c r="V23" s="177">
        <v>352728637</v>
      </c>
    </row>
    <row r="24" spans="1:23" ht="13.5" thickBot="1" x14ac:dyDescent="0.25">
      <c r="A24" s="112"/>
      <c r="B24" s="112"/>
      <c r="C24" s="112"/>
      <c r="D24" s="112"/>
      <c r="E24" s="112"/>
      <c r="F24" s="112"/>
      <c r="G24" s="112"/>
      <c r="H24" s="112"/>
      <c r="I24" s="112"/>
      <c r="J24" s="112"/>
      <c r="K24" s="112"/>
      <c r="L24" s="112"/>
      <c r="M24" s="112"/>
      <c r="N24" s="112"/>
      <c r="O24" s="112"/>
      <c r="P24" s="112"/>
      <c r="Q24" s="112"/>
      <c r="R24" s="112"/>
      <c r="S24" s="112"/>
      <c r="T24" s="112"/>
      <c r="U24" s="112"/>
      <c r="V24" s="112"/>
    </row>
    <row r="25" spans="1:23" s="113" customFormat="1" ht="19.5" customHeight="1" thickBot="1" x14ac:dyDescent="0.3">
      <c r="A25" s="286" t="s">
        <v>126</v>
      </c>
      <c r="B25" s="287"/>
      <c r="C25" s="304" t="s">
        <v>128</v>
      </c>
      <c r="D25" s="305"/>
      <c r="E25" s="304" t="s">
        <v>128</v>
      </c>
      <c r="F25" s="305"/>
      <c r="G25" s="286" t="s">
        <v>128</v>
      </c>
      <c r="H25" s="288"/>
      <c r="I25" s="286" t="s">
        <v>128</v>
      </c>
      <c r="J25" s="288"/>
      <c r="K25" s="286" t="s">
        <v>127</v>
      </c>
      <c r="L25" s="288"/>
      <c r="M25" s="286" t="s">
        <v>128</v>
      </c>
      <c r="N25" s="288"/>
      <c r="O25" s="286" t="s">
        <v>128</v>
      </c>
      <c r="P25" s="288"/>
      <c r="Q25" s="286" t="s">
        <v>128</v>
      </c>
      <c r="R25" s="288"/>
      <c r="S25" s="286" t="s">
        <v>127</v>
      </c>
      <c r="T25" s="288"/>
      <c r="U25" s="286" t="s">
        <v>128</v>
      </c>
      <c r="V25" s="288"/>
    </row>
    <row r="26" spans="1:23" x14ac:dyDescent="0.2">
      <c r="D26" s="115" t="s">
        <v>335</v>
      </c>
      <c r="F26" s="115" t="s">
        <v>335</v>
      </c>
    </row>
    <row r="27" spans="1:23" x14ac:dyDescent="0.2">
      <c r="B27" s="201" t="s">
        <v>323</v>
      </c>
      <c r="C27" s="202"/>
      <c r="D27" s="202"/>
      <c r="E27" s="202"/>
      <c r="F27" s="202"/>
      <c r="G27" s="202"/>
      <c r="H27" s="202">
        <f>+H23</f>
        <v>351647012</v>
      </c>
      <c r="I27" s="202"/>
      <c r="J27" s="202">
        <f>+J23</f>
        <v>350919958</v>
      </c>
      <c r="K27" s="202"/>
      <c r="L27" s="202"/>
      <c r="M27" s="202"/>
      <c r="N27" s="202">
        <f>+N23</f>
        <v>351772053</v>
      </c>
      <c r="O27" s="202"/>
      <c r="P27" s="202">
        <f>+P23</f>
        <v>352196676</v>
      </c>
      <c r="Q27" s="202"/>
      <c r="R27" s="202">
        <f>+R23</f>
        <v>351494963</v>
      </c>
      <c r="S27" s="202"/>
      <c r="T27" s="202"/>
      <c r="U27" s="202"/>
      <c r="V27" s="202">
        <f>+V23</f>
        <v>352728637</v>
      </c>
      <c r="W27" s="211">
        <f>+MAX(D27:V27)</f>
        <v>352728637</v>
      </c>
    </row>
    <row r="28" spans="1:23" x14ac:dyDescent="0.2">
      <c r="B28" s="201" t="s">
        <v>324</v>
      </c>
      <c r="D28" s="203"/>
      <c r="F28" s="203"/>
      <c r="H28" s="203">
        <f>+IF(H27&lt;=VLOOKUP($B$43,formula,2,FALSE),900*(1-((VLOOKUP($B$43,formula,2,FALSE)-H27)/VLOOKUP($B$43,formula,2,FALSE))),900*(1-2*(ABS(VLOOKUP($B$43,formula,2,FALSE)-H27)/VLOOKUP($B$43,formula,2,FALSE))))</f>
        <v>899.62596194631283</v>
      </c>
      <c r="J28" s="203">
        <f>+IF(J27&lt;=VLOOKUP($B$43,formula,2,FALSE),900*(1-((VLOOKUP($B$43,formula,2,FALSE)-J27)/VLOOKUP($B$43,formula,2,FALSE))),900*(1-2*(ABS(VLOOKUP($B$43,formula,2,FALSE)-J27)/VLOOKUP($B$43,formula,2,FALSE))))</f>
        <v>897.76592437506531</v>
      </c>
      <c r="L28" s="203"/>
      <c r="N28" s="203">
        <f>+IF(N27&lt;=VLOOKUP($B$43,formula,2,FALSE),900*(1-((VLOOKUP($B$43,formula,2,FALSE)-N27)/VLOOKUP($B$43,formula,2,FALSE))),900*(1-2*(ABS(VLOOKUP($B$43,formula,2,FALSE)-N27)/VLOOKUP($B$43,formula,2,FALSE))))</f>
        <v>899.94585697191803</v>
      </c>
      <c r="P28" s="203">
        <f>+IF(P27&lt;=VLOOKUP($B$43,formula,2,FALSE),900*(1-((VLOOKUP($B$43,formula,2,FALSE)-P27)/VLOOKUP($B$43,formula,2,FALSE))),900*(1-2*(ABS(VLOOKUP($B$43,formula,2,FALSE)-P27)/VLOOKUP($B$43,formula,2,FALSE))))</f>
        <v>897.93564211605542</v>
      </c>
      <c r="R28" s="203">
        <f>+IF(R27&lt;=VLOOKUP($B$43,formula,2,FALSE),900*(1-((VLOOKUP($B$43,formula,2,FALSE)-R27)/VLOOKUP($B$43,formula,2,FALSE))),900*(1-2*(ABS(VLOOKUP($B$43,formula,2,FALSE)-R27)/VLOOKUP($B$43,formula,2,FALSE))))</f>
        <v>899.23697178509974</v>
      </c>
      <c r="T28" s="203"/>
      <c r="V28" s="203">
        <f>+IF(V27&lt;=VLOOKUP($B$43,formula,2,FALSE),900*(1-((VLOOKUP($B$43,formula,2,FALSE)-V27)/VLOOKUP($B$43,formula,2,FALSE))),900*(1-2*(ABS(VLOOKUP($B$43,formula,2,FALSE)-V27)/VLOOKUP($B$43,formula,2,FALSE))))</f>
        <v>895.21378804073663</v>
      </c>
    </row>
    <row r="29" spans="1:23" x14ac:dyDescent="0.2">
      <c r="B29" s="201" t="s">
        <v>325</v>
      </c>
      <c r="E29" s="116"/>
      <c r="F29" s="116"/>
      <c r="G29" s="116"/>
      <c r="H29" s="116">
        <v>100</v>
      </c>
      <c r="I29" s="116"/>
      <c r="J29" s="116">
        <v>100</v>
      </c>
      <c r="K29" s="116"/>
      <c r="L29" s="116"/>
      <c r="M29" s="116"/>
      <c r="N29" s="116">
        <v>100</v>
      </c>
      <c r="O29" s="116"/>
      <c r="P29" s="116">
        <v>100</v>
      </c>
      <c r="Q29" s="116"/>
      <c r="R29" s="116">
        <v>100</v>
      </c>
      <c r="S29" s="116"/>
      <c r="T29" s="116"/>
      <c r="U29" s="116"/>
      <c r="V29" s="116">
        <v>100</v>
      </c>
    </row>
    <row r="30" spans="1:23" x14ac:dyDescent="0.2">
      <c r="B30" s="201" t="s">
        <v>145</v>
      </c>
      <c r="D30" s="203"/>
      <c r="F30" s="203"/>
      <c r="H30" s="203">
        <f>SUM(H28:H29)</f>
        <v>999.62596194631283</v>
      </c>
      <c r="J30" s="203">
        <f>SUM(J28:J29)</f>
        <v>997.76592437506531</v>
      </c>
      <c r="L30" s="203"/>
      <c r="N30" s="203">
        <f>SUM(N28:N29)</f>
        <v>999.94585697191803</v>
      </c>
      <c r="P30" s="203">
        <f>SUM(P28:P29)</f>
        <v>997.93564211605542</v>
      </c>
      <c r="R30" s="203">
        <f>SUM(R28:R29)</f>
        <v>999.23697178509974</v>
      </c>
      <c r="T30" s="203"/>
      <c r="V30" s="203">
        <f>SUM(V28:V29)</f>
        <v>995.21378804073663</v>
      </c>
      <c r="W30" s="212">
        <f>+MAX(D30:V30)</f>
        <v>999.94585697191803</v>
      </c>
    </row>
    <row r="31" spans="1:23" x14ac:dyDescent="0.2">
      <c r="A31" s="96" t="s">
        <v>326</v>
      </c>
      <c r="B31" s="204">
        <v>354643712</v>
      </c>
      <c r="K31" s="114"/>
      <c r="L31" s="114"/>
      <c r="M31" s="103"/>
      <c r="N31" s="103"/>
      <c r="O31" s="103"/>
      <c r="P31" s="103"/>
      <c r="Q31" s="103"/>
      <c r="R31" s="103"/>
      <c r="S31" s="103"/>
      <c r="T31" s="103"/>
      <c r="U31" s="103"/>
      <c r="V31" s="103"/>
    </row>
    <row r="32" spans="1:23" x14ac:dyDescent="0.2">
      <c r="A32" s="96"/>
      <c r="B32" s="204"/>
      <c r="K32" s="114"/>
      <c r="L32" s="114"/>
      <c r="M32" s="103"/>
      <c r="N32" s="103"/>
      <c r="O32" s="103"/>
      <c r="P32" s="103"/>
      <c r="Q32" s="103"/>
      <c r="R32" s="103"/>
      <c r="S32" s="103"/>
      <c r="T32" s="103"/>
      <c r="U32" s="103"/>
      <c r="V32" s="103"/>
    </row>
    <row r="33" spans="1:22" x14ac:dyDescent="0.2">
      <c r="A33" s="96" t="s">
        <v>327</v>
      </c>
      <c r="B33" s="205" t="s">
        <v>328</v>
      </c>
      <c r="K33" s="114"/>
      <c r="L33" s="114"/>
      <c r="M33" s="103"/>
      <c r="N33" s="103"/>
      <c r="O33" s="103"/>
      <c r="P33" s="103"/>
      <c r="Q33" s="103"/>
      <c r="R33" s="103"/>
      <c r="S33" s="103"/>
      <c r="T33" s="103"/>
      <c r="U33" s="103"/>
      <c r="V33" s="103"/>
    </row>
    <row r="34" spans="1:22" x14ac:dyDescent="0.2">
      <c r="A34" s="116">
        <v>1</v>
      </c>
      <c r="B34" s="204">
        <f>+AVERAGE(D27:V27)</f>
        <v>351793216.5</v>
      </c>
      <c r="K34" s="114"/>
      <c r="L34" s="114"/>
      <c r="M34" s="103"/>
      <c r="N34" s="103"/>
      <c r="O34" s="103"/>
      <c r="P34" s="103"/>
      <c r="Q34" s="103"/>
      <c r="R34" s="103"/>
      <c r="S34" s="103"/>
      <c r="T34" s="103"/>
      <c r="U34" s="103"/>
      <c r="V34" s="103"/>
    </row>
    <row r="35" spans="1:22" x14ac:dyDescent="0.2">
      <c r="A35" s="116">
        <v>2</v>
      </c>
      <c r="B35" s="204">
        <f>+AVERAGE(D27:W27)</f>
        <v>351926848</v>
      </c>
      <c r="K35" s="114"/>
      <c r="L35" s="114"/>
      <c r="M35" s="103"/>
      <c r="N35" s="103"/>
      <c r="O35" s="103"/>
      <c r="P35" s="103"/>
      <c r="Q35" s="103"/>
      <c r="R35" s="103"/>
      <c r="S35" s="103"/>
      <c r="T35" s="103"/>
      <c r="U35" s="103"/>
      <c r="V35" s="103"/>
    </row>
    <row r="36" spans="1:22" ht="12.75" customHeight="1" x14ac:dyDescent="0.2">
      <c r="A36" s="116">
        <v>3</v>
      </c>
      <c r="B36" s="204">
        <f>+GEOMEAN(D27:V27,B31,B31)</f>
        <v>352503345.06065255</v>
      </c>
      <c r="C36" s="115"/>
      <c r="E36" s="116"/>
      <c r="F36" s="116"/>
      <c r="G36" s="116"/>
      <c r="H36" s="116"/>
      <c r="I36" s="116"/>
      <c r="J36" s="116"/>
      <c r="K36" s="114"/>
      <c r="L36" s="114"/>
      <c r="M36" s="103"/>
      <c r="N36" s="103"/>
      <c r="O36" s="103"/>
      <c r="P36" s="103"/>
      <c r="Q36" s="103"/>
      <c r="R36" s="103"/>
      <c r="S36" s="103"/>
      <c r="T36" s="103"/>
      <c r="U36" s="103"/>
      <c r="V36" s="103"/>
    </row>
    <row r="37" spans="1:22" ht="12.75" customHeight="1" x14ac:dyDescent="0.2">
      <c r="A37" s="116"/>
      <c r="B37" s="204"/>
      <c r="C37" s="115"/>
      <c r="E37" s="116"/>
      <c r="F37" s="116"/>
      <c r="G37" s="116"/>
      <c r="H37" s="116"/>
      <c r="I37" s="116"/>
      <c r="J37" s="116"/>
      <c r="K37" s="114"/>
      <c r="L37" s="114"/>
      <c r="M37" s="103"/>
      <c r="N37" s="103"/>
      <c r="O37" s="103"/>
      <c r="P37" s="103"/>
      <c r="Q37" s="103"/>
      <c r="R37" s="103"/>
      <c r="S37" s="103"/>
      <c r="T37" s="103"/>
      <c r="U37" s="103"/>
      <c r="V37" s="103"/>
    </row>
    <row r="38" spans="1:22" ht="12.75" customHeight="1" x14ac:dyDescent="0.2">
      <c r="A38" s="96" t="s">
        <v>329</v>
      </c>
      <c r="B38" s="206">
        <f>+COUNT(D27:V27)</f>
        <v>6</v>
      </c>
      <c r="C38" s="115"/>
      <c r="E38" s="116"/>
      <c r="K38" s="114"/>
      <c r="L38" s="114"/>
      <c r="M38" s="103"/>
      <c r="N38" s="103"/>
      <c r="O38" s="103"/>
      <c r="P38" s="103"/>
      <c r="Q38" s="103"/>
      <c r="R38" s="103"/>
      <c r="S38" s="103"/>
      <c r="T38" s="103"/>
      <c r="U38" s="103"/>
      <c r="V38" s="103"/>
    </row>
    <row r="39" spans="1:22" ht="12.75" customHeight="1" x14ac:dyDescent="0.2">
      <c r="A39" s="207" t="s">
        <v>330</v>
      </c>
      <c r="B39" s="115">
        <v>2</v>
      </c>
      <c r="C39" s="115"/>
      <c r="E39" s="116"/>
      <c r="K39" s="114"/>
      <c r="L39" s="114"/>
      <c r="M39" s="103"/>
      <c r="N39" s="103"/>
      <c r="O39" s="103"/>
      <c r="P39" s="103"/>
      <c r="Q39" s="103"/>
      <c r="R39" s="103"/>
      <c r="S39" s="103"/>
      <c r="T39" s="103"/>
      <c r="U39" s="103"/>
      <c r="V39" s="103"/>
    </row>
    <row r="40" spans="1:22" ht="12.75" customHeight="1" x14ac:dyDescent="0.2">
      <c r="A40" s="207"/>
      <c r="C40" s="115"/>
      <c r="E40" s="116"/>
      <c r="K40" s="114"/>
      <c r="L40" s="114"/>
      <c r="M40" s="103"/>
      <c r="N40" s="103"/>
      <c r="O40" s="103"/>
      <c r="P40" s="103"/>
      <c r="Q40" s="103"/>
      <c r="R40" s="103"/>
      <c r="S40" s="103"/>
      <c r="T40" s="103"/>
      <c r="U40" s="103"/>
      <c r="V40" s="103"/>
    </row>
    <row r="41" spans="1:22" ht="12.75" customHeight="1" x14ac:dyDescent="0.2">
      <c r="A41" s="207" t="s">
        <v>331</v>
      </c>
      <c r="B41" s="208">
        <v>2947.06</v>
      </c>
      <c r="C41" s="115"/>
      <c r="E41" s="116"/>
      <c r="K41" s="114"/>
      <c r="L41" s="114"/>
      <c r="M41" s="103"/>
      <c r="N41" s="103"/>
      <c r="O41" s="103"/>
      <c r="P41" s="103"/>
      <c r="Q41" s="103"/>
      <c r="R41" s="103"/>
      <c r="S41" s="103"/>
      <c r="T41" s="103"/>
      <c r="U41" s="103"/>
      <c r="V41" s="103"/>
    </row>
    <row r="42" spans="1:22" ht="12.75" customHeight="1" x14ac:dyDescent="0.2">
      <c r="A42" s="96" t="s">
        <v>332</v>
      </c>
      <c r="B42" s="209" t="s">
        <v>333</v>
      </c>
      <c r="C42" s="115"/>
      <c r="E42" s="116"/>
      <c r="K42" s="114"/>
      <c r="L42" s="114"/>
      <c r="M42" s="103"/>
      <c r="N42" s="103"/>
      <c r="O42" s="103"/>
      <c r="P42" s="103"/>
      <c r="Q42" s="103"/>
      <c r="R42" s="103"/>
      <c r="S42" s="103"/>
      <c r="T42" s="103"/>
      <c r="U42" s="103"/>
      <c r="V42" s="103"/>
    </row>
    <row r="43" spans="1:22" ht="12.75" customHeight="1" x14ac:dyDescent="0.2">
      <c r="A43" s="96" t="s">
        <v>327</v>
      </c>
      <c r="B43" s="210">
        <v>1</v>
      </c>
      <c r="C43" s="115"/>
      <c r="E43" s="116"/>
      <c r="K43" s="114"/>
      <c r="L43" s="114"/>
      <c r="M43" s="103"/>
      <c r="N43" s="103"/>
      <c r="O43" s="103"/>
      <c r="P43" s="103"/>
      <c r="Q43" s="103"/>
      <c r="R43" s="103"/>
      <c r="S43" s="103"/>
      <c r="T43" s="103"/>
      <c r="U43" s="103"/>
      <c r="V43" s="103"/>
    </row>
    <row r="44" spans="1:22" ht="12.75" customHeight="1" x14ac:dyDescent="0.2">
      <c r="C44" s="115"/>
      <c r="E44" s="116"/>
      <c r="G44" s="116"/>
      <c r="I44" s="116"/>
      <c r="K44" s="116"/>
      <c r="M44" s="116"/>
      <c r="O44" s="116"/>
      <c r="Q44" s="116"/>
      <c r="S44" s="116"/>
      <c r="U44" s="116"/>
    </row>
    <row r="45" spans="1:22" ht="12.75" customHeight="1" x14ac:dyDescent="0.2">
      <c r="C45" s="115"/>
      <c r="E45" s="116"/>
      <c r="G45" s="116"/>
      <c r="I45" s="116"/>
      <c r="K45" s="116"/>
      <c r="M45" s="116"/>
      <c r="O45" s="116"/>
      <c r="Q45" s="116"/>
      <c r="S45" s="116"/>
      <c r="U45" s="116"/>
    </row>
    <row r="46" spans="1:22" ht="12.75" customHeight="1" x14ac:dyDescent="0.2">
      <c r="B46" s="99" t="s">
        <v>129</v>
      </c>
      <c r="C46" s="115"/>
      <c r="E46" s="116"/>
      <c r="G46" s="116"/>
      <c r="I46" s="116"/>
      <c r="K46" s="116"/>
      <c r="M46" s="116"/>
      <c r="O46" s="116"/>
      <c r="Q46" s="116"/>
      <c r="S46" s="116"/>
      <c r="U46" s="116"/>
    </row>
    <row r="47" spans="1:22" ht="12.75" customHeight="1" x14ac:dyDescent="0.2">
      <c r="C47" s="115"/>
      <c r="E47" s="116"/>
      <c r="G47" s="116"/>
      <c r="I47" s="116"/>
      <c r="K47" s="116"/>
      <c r="M47" s="116"/>
      <c r="O47" s="116"/>
      <c r="Q47" s="116"/>
      <c r="S47" s="116"/>
      <c r="U47" s="116"/>
    </row>
    <row r="48" spans="1:22" ht="12.75" customHeight="1" x14ac:dyDescent="0.2">
      <c r="C48" s="115"/>
      <c r="E48" s="116"/>
      <c r="G48" s="116"/>
      <c r="I48" s="116"/>
      <c r="K48" s="116"/>
      <c r="M48" s="116"/>
      <c r="O48" s="116"/>
      <c r="Q48" s="116"/>
      <c r="S48" s="116"/>
      <c r="U48" s="116"/>
    </row>
    <row r="49" spans="2:22" ht="18.75" customHeight="1" x14ac:dyDescent="0.2">
      <c r="B49" s="117"/>
      <c r="E49" s="116"/>
      <c r="G49" s="116"/>
      <c r="I49" s="116"/>
      <c r="K49" s="116"/>
      <c r="M49" s="116"/>
      <c r="O49" s="116"/>
      <c r="Q49" s="116"/>
      <c r="S49" s="116"/>
      <c r="U49" s="116"/>
    </row>
    <row r="50" spans="2:22" ht="15.75" x14ac:dyDescent="0.2">
      <c r="B50" s="118" t="s">
        <v>130</v>
      </c>
      <c r="C50" s="115"/>
      <c r="E50" s="116"/>
      <c r="G50" s="116"/>
      <c r="I50" s="116"/>
      <c r="K50" s="116"/>
      <c r="M50" s="116"/>
      <c r="O50" s="116"/>
      <c r="Q50" s="116"/>
      <c r="S50" s="116"/>
      <c r="U50" s="116"/>
    </row>
    <row r="51" spans="2:22" ht="15.75" x14ac:dyDescent="0.25">
      <c r="B51" s="119" t="s">
        <v>169</v>
      </c>
      <c r="C51" s="115"/>
      <c r="E51" s="116"/>
      <c r="G51" s="116"/>
      <c r="I51" s="116"/>
      <c r="K51" s="116"/>
      <c r="M51" s="116"/>
      <c r="O51" s="116"/>
      <c r="Q51" s="116"/>
      <c r="S51" s="116"/>
      <c r="U51" s="116"/>
    </row>
    <row r="52" spans="2:22" ht="12.75" customHeight="1" x14ac:dyDescent="0.2">
      <c r="C52" s="115"/>
      <c r="E52" s="116"/>
      <c r="G52" s="116"/>
      <c r="I52" s="116"/>
      <c r="K52" s="116"/>
      <c r="M52" s="116"/>
      <c r="O52" s="116"/>
      <c r="Q52" s="116"/>
      <c r="S52" s="116"/>
      <c r="U52" s="116"/>
    </row>
    <row r="53" spans="2:22" ht="12.75" customHeight="1" x14ac:dyDescent="0.2">
      <c r="C53" s="115"/>
      <c r="E53" s="116"/>
      <c r="G53" s="116"/>
      <c r="I53" s="116"/>
      <c r="K53" s="116"/>
      <c r="M53" s="116"/>
      <c r="O53" s="116"/>
      <c r="Q53" s="116"/>
      <c r="S53" s="116"/>
      <c r="U53" s="116"/>
    </row>
    <row r="54" spans="2:22" ht="17.25" customHeight="1" x14ac:dyDescent="0.25">
      <c r="B54" s="118"/>
      <c r="E54" s="118"/>
      <c r="G54" s="118"/>
      <c r="I54" s="118"/>
      <c r="J54" s="119"/>
      <c r="L54" s="119"/>
      <c r="M54" s="118"/>
      <c r="N54" s="118"/>
      <c r="O54" s="118"/>
      <c r="P54" s="118"/>
      <c r="Q54" s="118"/>
      <c r="R54" s="118"/>
      <c r="S54" s="118"/>
      <c r="T54" s="118"/>
      <c r="U54" s="118"/>
      <c r="V54" s="118"/>
    </row>
    <row r="55" spans="2:22" ht="15.75" x14ac:dyDescent="0.25">
      <c r="B55" s="118" t="s">
        <v>170</v>
      </c>
      <c r="E55" s="119"/>
      <c r="G55" s="119"/>
      <c r="I55" s="98"/>
      <c r="J55" s="119"/>
      <c r="L55" s="119"/>
      <c r="M55" s="119"/>
      <c r="N55" s="119"/>
      <c r="O55" s="119"/>
      <c r="P55" s="119"/>
      <c r="Q55" s="119"/>
      <c r="R55" s="119"/>
      <c r="S55" s="119"/>
      <c r="T55" s="119"/>
      <c r="U55" s="119"/>
      <c r="V55" s="119"/>
    </row>
    <row r="56" spans="2:22" ht="15.75" x14ac:dyDescent="0.25">
      <c r="B56" s="119" t="s">
        <v>131</v>
      </c>
      <c r="C56" s="119"/>
      <c r="E56" s="116"/>
      <c r="F56" s="119"/>
      <c r="G56" s="119"/>
      <c r="H56" s="119"/>
      <c r="I56" s="119"/>
      <c r="J56" s="121"/>
      <c r="K56" s="121"/>
      <c r="L56" s="121"/>
      <c r="M56" s="116"/>
      <c r="N56" s="119"/>
      <c r="O56" s="116"/>
      <c r="P56" s="119"/>
      <c r="Q56" s="116"/>
      <c r="R56" s="119"/>
      <c r="S56" s="116"/>
      <c r="T56" s="119"/>
      <c r="U56" s="116"/>
      <c r="V56" s="119"/>
    </row>
    <row r="57" spans="2:22" ht="14.25" customHeight="1" x14ac:dyDescent="0.25">
      <c r="B57" s="119"/>
      <c r="C57" s="119"/>
      <c r="D57" s="121"/>
      <c r="E57" s="121"/>
      <c r="J57" s="103"/>
      <c r="K57" s="103"/>
      <c r="L57" s="103"/>
      <c r="M57" s="121"/>
      <c r="O57" s="121"/>
      <c r="Q57" s="121"/>
      <c r="S57" s="121"/>
      <c r="U57" s="121"/>
    </row>
    <row r="58" spans="2:22" ht="14.25" customHeight="1" x14ac:dyDescent="0.25">
      <c r="B58" s="119"/>
      <c r="C58" s="119"/>
      <c r="D58" s="121"/>
      <c r="E58" s="121"/>
      <c r="J58" s="103"/>
      <c r="K58" s="103"/>
      <c r="L58" s="103"/>
      <c r="M58" s="121"/>
      <c r="O58" s="121"/>
      <c r="Q58" s="121"/>
      <c r="S58" s="121"/>
      <c r="U58" s="121"/>
    </row>
    <row r="59" spans="2:22" ht="14.25" customHeight="1" x14ac:dyDescent="0.25">
      <c r="B59" s="119"/>
      <c r="C59" s="119"/>
      <c r="D59" s="121"/>
      <c r="E59" s="121"/>
      <c r="F59" s="119"/>
      <c r="G59" s="119"/>
      <c r="H59" s="119"/>
      <c r="I59" s="119"/>
      <c r="J59" s="103"/>
      <c r="K59" s="103"/>
      <c r="L59" s="103"/>
      <c r="M59" s="121"/>
      <c r="N59" s="119"/>
      <c r="O59" s="121"/>
      <c r="P59" s="119"/>
      <c r="Q59" s="121"/>
      <c r="R59" s="119"/>
      <c r="S59" s="121"/>
      <c r="T59" s="119"/>
      <c r="U59" s="121"/>
      <c r="V59" s="119"/>
    </row>
    <row r="60" spans="2:22" ht="15.75" x14ac:dyDescent="0.2">
      <c r="B60" s="118" t="s">
        <v>132</v>
      </c>
      <c r="D60" s="118"/>
      <c r="E60" s="118"/>
      <c r="F60" s="118"/>
      <c r="G60" s="118"/>
      <c r="H60" s="118"/>
      <c r="I60" s="118"/>
      <c r="J60" s="116"/>
      <c r="K60" s="116"/>
      <c r="L60" s="116"/>
      <c r="M60" s="118"/>
      <c r="N60" s="118"/>
      <c r="O60" s="118"/>
      <c r="P60" s="118"/>
      <c r="Q60" s="118"/>
      <c r="R60" s="118"/>
      <c r="S60" s="118"/>
      <c r="T60" s="118"/>
      <c r="U60" s="118"/>
      <c r="V60" s="118"/>
    </row>
    <row r="61" spans="2:22" ht="15.75" x14ac:dyDescent="0.25">
      <c r="B61" s="119" t="s">
        <v>133</v>
      </c>
      <c r="D61" s="121"/>
      <c r="E61" s="121"/>
      <c r="F61" s="119"/>
      <c r="G61" s="119"/>
      <c r="H61" s="119"/>
      <c r="I61" s="119"/>
      <c r="J61" s="124"/>
      <c r="K61" s="124"/>
      <c r="L61" s="124"/>
      <c r="M61" s="121"/>
      <c r="N61" s="119"/>
      <c r="O61" s="121"/>
      <c r="P61" s="119"/>
      <c r="Q61" s="121"/>
      <c r="R61" s="119"/>
      <c r="S61" s="121"/>
      <c r="T61" s="119"/>
      <c r="U61" s="121"/>
      <c r="V61" s="119"/>
    </row>
    <row r="62" spans="2:22" ht="15.75" x14ac:dyDescent="0.25">
      <c r="B62" s="119" t="s">
        <v>134</v>
      </c>
      <c r="D62" s="121"/>
      <c r="E62" s="121"/>
      <c r="F62" s="119"/>
      <c r="G62" s="119"/>
      <c r="H62" s="119"/>
      <c r="I62" s="119"/>
      <c r="J62" s="124"/>
      <c r="K62" s="124"/>
      <c r="L62" s="124"/>
      <c r="M62" s="121"/>
      <c r="N62" s="119"/>
      <c r="O62" s="121"/>
      <c r="P62" s="119"/>
      <c r="Q62" s="121"/>
      <c r="R62" s="119"/>
      <c r="S62" s="121"/>
      <c r="T62" s="119"/>
      <c r="U62" s="121"/>
      <c r="V62" s="119"/>
    </row>
    <row r="63" spans="2:22" ht="14.25" customHeight="1" x14ac:dyDescent="0.25">
      <c r="B63" s="119"/>
      <c r="C63" s="121"/>
      <c r="D63" s="121"/>
      <c r="E63" s="119"/>
      <c r="F63" s="119"/>
      <c r="G63" s="119"/>
      <c r="H63" s="119"/>
      <c r="I63" s="119"/>
      <c r="J63" s="119"/>
      <c r="K63" s="119"/>
      <c r="L63" s="119"/>
      <c r="M63" s="119"/>
      <c r="N63" s="119"/>
      <c r="O63" s="119"/>
      <c r="P63" s="119"/>
      <c r="Q63" s="119"/>
      <c r="R63" s="119"/>
      <c r="S63" s="119"/>
      <c r="T63" s="119"/>
      <c r="U63" s="119"/>
      <c r="V63" s="119"/>
    </row>
    <row r="69" spans="1:4" s="115" customFormat="1" x14ac:dyDescent="0.25">
      <c r="A69" s="114"/>
      <c r="C69" s="116"/>
      <c r="D69" s="116"/>
    </row>
    <row r="70" spans="1:4" s="115" customFormat="1" x14ac:dyDescent="0.25">
      <c r="A70" s="114"/>
      <c r="C70" s="116"/>
      <c r="D70" s="116"/>
    </row>
    <row r="71" spans="1:4" s="115" customFormat="1" x14ac:dyDescent="0.25">
      <c r="A71" s="114"/>
      <c r="C71" s="116"/>
      <c r="D71" s="116"/>
    </row>
    <row r="72" spans="1:4" s="115" customFormat="1" x14ac:dyDescent="0.25">
      <c r="A72" s="114"/>
      <c r="C72" s="116"/>
      <c r="D72" s="116"/>
    </row>
    <row r="73" spans="1:4" s="115" customFormat="1" x14ac:dyDescent="0.25">
      <c r="A73" s="114"/>
      <c r="C73" s="116"/>
      <c r="D73" s="116"/>
    </row>
  </sheetData>
  <mergeCells count="35">
    <mergeCell ref="M10:N10"/>
    <mergeCell ref="M25:N25"/>
    <mergeCell ref="K10:L10"/>
    <mergeCell ref="K25:L25"/>
    <mergeCell ref="A9:A11"/>
    <mergeCell ref="B9:B10"/>
    <mergeCell ref="C9:D9"/>
    <mergeCell ref="E9:F9"/>
    <mergeCell ref="A25:B25"/>
    <mergeCell ref="C25:D25"/>
    <mergeCell ref="E25:F25"/>
    <mergeCell ref="C10:D10"/>
    <mergeCell ref="E10:F10"/>
    <mergeCell ref="A19:A21"/>
    <mergeCell ref="U9:V9"/>
    <mergeCell ref="S10:T10"/>
    <mergeCell ref="U10:V10"/>
    <mergeCell ref="S25:T25"/>
    <mergeCell ref="U25:V25"/>
    <mergeCell ref="A7:B7"/>
    <mergeCell ref="Q9:R9"/>
    <mergeCell ref="Q10:R10"/>
    <mergeCell ref="Q25:R25"/>
    <mergeCell ref="S9:T9"/>
    <mergeCell ref="G9:H9"/>
    <mergeCell ref="G10:H10"/>
    <mergeCell ref="G25:H25"/>
    <mergeCell ref="I9:J9"/>
    <mergeCell ref="I10:J10"/>
    <mergeCell ref="I25:J25"/>
    <mergeCell ref="O9:P9"/>
    <mergeCell ref="O10:P10"/>
    <mergeCell ref="O25:P25"/>
    <mergeCell ref="K9:L9"/>
    <mergeCell ref="M9:N9"/>
  </mergeCells>
  <conditionalFormatting sqref="F23 C14:F14 C18:V18">
    <cfRule type="cellIs" dxfId="239" priority="611" operator="equal">
      <formula>"NO"</formula>
    </cfRule>
  </conditionalFormatting>
  <conditionalFormatting sqref="C25:F25">
    <cfRule type="cellIs" dxfId="238" priority="610" operator="equal">
      <formula>"NO HABIL"</formula>
    </cfRule>
  </conditionalFormatting>
  <conditionalFormatting sqref="C15:V17">
    <cfRule type="cellIs" dxfId="237" priority="609" operator="equal">
      <formula>"NO"</formula>
    </cfRule>
  </conditionalFormatting>
  <conditionalFormatting sqref="C23">
    <cfRule type="cellIs" dxfId="236" priority="606" operator="equal">
      <formula>"NO"</formula>
    </cfRule>
  </conditionalFormatting>
  <conditionalFormatting sqref="H14 H23">
    <cfRule type="cellIs" dxfId="235" priority="587" operator="equal">
      <formula>"NO"</formula>
    </cfRule>
  </conditionalFormatting>
  <conditionalFormatting sqref="C22:F22">
    <cfRule type="cellIs" dxfId="234" priority="601" operator="equal">
      <formula>"NO"</formula>
    </cfRule>
  </conditionalFormatting>
  <conditionalFormatting sqref="G22:H22">
    <cfRule type="cellIs" dxfId="233" priority="584" operator="equal">
      <formula>"NO"</formula>
    </cfRule>
  </conditionalFormatting>
  <conditionalFormatting sqref="J14 J23">
    <cfRule type="cellIs" dxfId="232" priority="582" operator="equal">
      <formula>"NO"</formula>
    </cfRule>
  </conditionalFormatting>
  <conditionalFormatting sqref="I22:J22">
    <cfRule type="cellIs" dxfId="231" priority="579" operator="equal">
      <formula>"NO"</formula>
    </cfRule>
  </conditionalFormatting>
  <conditionalFormatting sqref="N14 N23">
    <cfRule type="cellIs" dxfId="230" priority="572" operator="equal">
      <formula>"NO"</formula>
    </cfRule>
  </conditionalFormatting>
  <conditionalFormatting sqref="M22:N22">
    <cfRule type="cellIs" dxfId="229" priority="569" operator="equal">
      <formula>"NO"</formula>
    </cfRule>
  </conditionalFormatting>
  <conditionalFormatting sqref="L14 L23">
    <cfRule type="cellIs" dxfId="228" priority="577" operator="equal">
      <formula>"NO"</formula>
    </cfRule>
  </conditionalFormatting>
  <conditionalFormatting sqref="K22:L22">
    <cfRule type="cellIs" dxfId="227" priority="574" operator="equal">
      <formula>"NO"</formula>
    </cfRule>
  </conditionalFormatting>
  <conditionalFormatting sqref="P14 P23">
    <cfRule type="cellIs" dxfId="226" priority="567" operator="equal">
      <formula>"NO"</formula>
    </cfRule>
  </conditionalFormatting>
  <conditionalFormatting sqref="O25:P25">
    <cfRule type="cellIs" dxfId="225" priority="566" operator="equal">
      <formula>"NO HABIL"</formula>
    </cfRule>
  </conditionalFormatting>
  <conditionalFormatting sqref="O22:P22">
    <cfRule type="cellIs" dxfId="224" priority="564" operator="equal">
      <formula>"NO"</formula>
    </cfRule>
  </conditionalFormatting>
  <conditionalFormatting sqref="R14 R23">
    <cfRule type="cellIs" dxfId="223" priority="562" operator="equal">
      <formula>"NO"</formula>
    </cfRule>
  </conditionalFormatting>
  <conditionalFormatting sqref="Q22:R22">
    <cfRule type="cellIs" dxfId="222" priority="559" operator="equal">
      <formula>"NO"</formula>
    </cfRule>
  </conditionalFormatting>
  <conditionalFormatting sqref="V14 V23">
    <cfRule type="cellIs" dxfId="221" priority="552" operator="equal">
      <formula>"NO"</formula>
    </cfRule>
  </conditionalFormatting>
  <conditionalFormatting sqref="U22:V22">
    <cfRule type="cellIs" dxfId="220" priority="549" operator="equal">
      <formula>"NO"</formula>
    </cfRule>
  </conditionalFormatting>
  <conditionalFormatting sqref="T14 T23">
    <cfRule type="cellIs" dxfId="219" priority="557" operator="equal">
      <formula>"NO"</formula>
    </cfRule>
  </conditionalFormatting>
  <conditionalFormatting sqref="S22:T22">
    <cfRule type="cellIs" dxfId="218" priority="554" operator="equal">
      <formula>"NO"</formula>
    </cfRule>
  </conditionalFormatting>
  <conditionalFormatting sqref="U25:V25">
    <cfRule type="cellIs" dxfId="217" priority="551" operator="equal">
      <formula>"NO HABIL"</formula>
    </cfRule>
  </conditionalFormatting>
  <conditionalFormatting sqref="J21">
    <cfRule type="cellIs" dxfId="216" priority="333" operator="equal">
      <formula>"NO"</formula>
    </cfRule>
  </conditionalFormatting>
  <conditionalFormatting sqref="C13:E13">
    <cfRule type="cellIs" dxfId="215" priority="412" operator="equal">
      <formula>"NO"</formula>
    </cfRule>
  </conditionalFormatting>
  <conditionalFormatting sqref="F21">
    <cfRule type="cellIs" dxfId="214" priority="337" operator="equal">
      <formula>"NO"</formula>
    </cfRule>
  </conditionalFormatting>
  <conditionalFormatting sqref="H20">
    <cfRule type="cellIs" dxfId="213" priority="336" operator="equal">
      <formula>"NO"</formula>
    </cfRule>
  </conditionalFormatting>
  <conditionalFormatting sqref="H13">
    <cfRule type="cellIs" dxfId="212" priority="405" operator="equal">
      <formula>"NO"</formula>
    </cfRule>
  </conditionalFormatting>
  <conditionalFormatting sqref="P20">
    <cfRule type="cellIs" dxfId="211" priority="308" operator="equal">
      <formula>"NO"</formula>
    </cfRule>
  </conditionalFormatting>
  <conditionalFormatting sqref="P19">
    <cfRule type="cellIs" dxfId="210" priority="309" operator="equal">
      <formula>"NO"</formula>
    </cfRule>
  </conditionalFormatting>
  <conditionalFormatting sqref="Q21">
    <cfRule type="cellIs" dxfId="209" priority="302" operator="equal">
      <formula>"NO"</formula>
    </cfRule>
  </conditionalFormatting>
  <conditionalFormatting sqref="C20:E20 G20 I20 K20:N20 C19:N19">
    <cfRule type="cellIs" dxfId="208" priority="340" operator="equal">
      <formula>"NO"</formula>
    </cfRule>
  </conditionalFormatting>
  <conditionalFormatting sqref="C21:E21 G21 I21 K21:L21">
    <cfRule type="cellIs" dxfId="207" priority="339" operator="equal">
      <formula>"NO"</formula>
    </cfRule>
  </conditionalFormatting>
  <conditionalFormatting sqref="F20">
    <cfRule type="cellIs" dxfId="206" priority="338" operator="equal">
      <formula>"NO"</formula>
    </cfRule>
  </conditionalFormatting>
  <conditionalFormatting sqref="H21">
    <cfRule type="cellIs" dxfId="205" priority="335" operator="equal">
      <formula>"NO"</formula>
    </cfRule>
  </conditionalFormatting>
  <conditionalFormatting sqref="J20">
    <cfRule type="cellIs" dxfId="204" priority="334" operator="equal">
      <formula>"NO"</formula>
    </cfRule>
  </conditionalFormatting>
  <conditionalFormatting sqref="M21:N21">
    <cfRule type="cellIs" dxfId="203" priority="332" operator="equal">
      <formula>"NO"</formula>
    </cfRule>
  </conditionalFormatting>
  <conditionalFormatting sqref="O19:O20">
    <cfRule type="cellIs" dxfId="202" priority="331" operator="equal">
      <formula>"NO"</formula>
    </cfRule>
  </conditionalFormatting>
  <conditionalFormatting sqref="O21">
    <cfRule type="cellIs" dxfId="201" priority="330" operator="equal">
      <formula>"NO"</formula>
    </cfRule>
  </conditionalFormatting>
  <conditionalFormatting sqref="S19:S20">
    <cfRule type="cellIs" dxfId="200" priority="329" operator="equal">
      <formula>"NO"</formula>
    </cfRule>
  </conditionalFormatting>
  <conditionalFormatting sqref="S21">
    <cfRule type="cellIs" dxfId="199" priority="328" operator="equal">
      <formula>"NO"</formula>
    </cfRule>
  </conditionalFormatting>
  <conditionalFormatting sqref="V21">
    <cfRule type="cellIs" dxfId="198" priority="299" operator="equal">
      <formula>"NO"</formula>
    </cfRule>
  </conditionalFormatting>
  <conditionalFormatting sqref="Q19:Q20">
    <cfRule type="cellIs" dxfId="197" priority="303" operator="equal">
      <formula>"NO"</formula>
    </cfRule>
  </conditionalFormatting>
  <conditionalFormatting sqref="R21">
    <cfRule type="cellIs" dxfId="196" priority="304" operator="equal">
      <formula>"NO"</formula>
    </cfRule>
  </conditionalFormatting>
  <conditionalFormatting sqref="R20">
    <cfRule type="cellIs" dxfId="195" priority="305" operator="equal">
      <formula>"NO"</formula>
    </cfRule>
  </conditionalFormatting>
  <conditionalFormatting sqref="V20">
    <cfRule type="cellIs" dxfId="194" priority="300" operator="equal">
      <formula>"NO"</formula>
    </cfRule>
  </conditionalFormatting>
  <conditionalFormatting sqref="P21">
    <cfRule type="cellIs" dxfId="193" priority="307" operator="equal">
      <formula>"NO"</formula>
    </cfRule>
  </conditionalFormatting>
  <conditionalFormatting sqref="R19">
    <cfRule type="cellIs" dxfId="192" priority="306" operator="equal">
      <formula>"NO"</formula>
    </cfRule>
  </conditionalFormatting>
  <conditionalFormatting sqref="V19">
    <cfRule type="cellIs" dxfId="191" priority="301" operator="equal">
      <formula>"NO"</formula>
    </cfRule>
  </conditionalFormatting>
  <conditionalFormatting sqref="U19:U20">
    <cfRule type="cellIs" dxfId="190" priority="298" operator="equal">
      <formula>"NO"</formula>
    </cfRule>
  </conditionalFormatting>
  <conditionalFormatting sqref="U21">
    <cfRule type="cellIs" dxfId="189" priority="297" operator="equal">
      <formula>"NO"</formula>
    </cfRule>
  </conditionalFormatting>
  <conditionalFormatting sqref="T19">
    <cfRule type="cellIs" dxfId="188" priority="296" operator="equal">
      <formula>"NO"</formula>
    </cfRule>
  </conditionalFormatting>
  <conditionalFormatting sqref="T20">
    <cfRule type="cellIs" dxfId="187" priority="295" operator="equal">
      <formula>"NO"</formula>
    </cfRule>
  </conditionalFormatting>
  <conditionalFormatting sqref="T21">
    <cfRule type="cellIs" dxfId="186" priority="294" operator="equal">
      <formula>"NO"</formula>
    </cfRule>
  </conditionalFormatting>
  <conditionalFormatting sqref="G14">
    <cfRule type="cellIs" dxfId="185" priority="178" operator="equal">
      <formula>"NO"</formula>
    </cfRule>
  </conditionalFormatting>
  <conditionalFormatting sqref="I14">
    <cfRule type="cellIs" dxfId="184" priority="177" operator="equal">
      <formula>"NO"</formula>
    </cfRule>
  </conditionalFormatting>
  <conditionalFormatting sqref="K14">
    <cfRule type="cellIs" dxfId="183" priority="176" operator="equal">
      <formula>"NO"</formula>
    </cfRule>
  </conditionalFormatting>
  <conditionalFormatting sqref="M14">
    <cfRule type="cellIs" dxfId="182" priority="175" operator="equal">
      <formula>"NO"</formula>
    </cfRule>
  </conditionalFormatting>
  <conditionalFormatting sqref="O14">
    <cfRule type="cellIs" dxfId="181" priority="174" operator="equal">
      <formula>"NO"</formula>
    </cfRule>
  </conditionalFormatting>
  <conditionalFormatting sqref="Q14">
    <cfRule type="cellIs" dxfId="180" priority="173" operator="equal">
      <formula>"NO"</formula>
    </cfRule>
  </conditionalFormatting>
  <conditionalFormatting sqref="S14">
    <cfRule type="cellIs" dxfId="179" priority="172" operator="equal">
      <formula>"NO"</formula>
    </cfRule>
  </conditionalFormatting>
  <conditionalFormatting sqref="U14">
    <cfRule type="cellIs" dxfId="178" priority="171" operator="equal">
      <formula>"NO"</formula>
    </cfRule>
  </conditionalFormatting>
  <conditionalFormatting sqref="G13">
    <cfRule type="cellIs" dxfId="177" priority="142" operator="equal">
      <formula>"NO"</formula>
    </cfRule>
  </conditionalFormatting>
  <conditionalFormatting sqref="I13">
    <cfRule type="cellIs" dxfId="176" priority="141" operator="equal">
      <formula>"NO"</formula>
    </cfRule>
  </conditionalFormatting>
  <conditionalFormatting sqref="K13">
    <cfRule type="cellIs" dxfId="175" priority="140" operator="equal">
      <formula>"NO"</formula>
    </cfRule>
  </conditionalFormatting>
  <conditionalFormatting sqref="M13">
    <cfRule type="cellIs" dxfId="174" priority="139" operator="equal">
      <formula>"NO"</formula>
    </cfRule>
  </conditionalFormatting>
  <conditionalFormatting sqref="O13">
    <cfRule type="cellIs" dxfId="173" priority="138" operator="equal">
      <formula>"NO"</formula>
    </cfRule>
  </conditionalFormatting>
  <conditionalFormatting sqref="Q13">
    <cfRule type="cellIs" dxfId="172" priority="137" operator="equal">
      <formula>"NO"</formula>
    </cfRule>
  </conditionalFormatting>
  <conditionalFormatting sqref="S13">
    <cfRule type="cellIs" dxfId="171" priority="136" operator="equal">
      <formula>"NO"</formula>
    </cfRule>
  </conditionalFormatting>
  <conditionalFormatting sqref="G25:H25">
    <cfRule type="cellIs" dxfId="170" priority="83" operator="equal">
      <formula>"NO HABIL"</formula>
    </cfRule>
  </conditionalFormatting>
  <conditionalFormatting sqref="I25:J25">
    <cfRule type="cellIs" dxfId="169" priority="82" operator="equal">
      <formula>"NO HABIL"</formula>
    </cfRule>
  </conditionalFormatting>
  <conditionalFormatting sqref="K25:L25">
    <cfRule type="cellIs" dxfId="168" priority="81" operator="equal">
      <formula>"NO HABIL"</formula>
    </cfRule>
  </conditionalFormatting>
  <conditionalFormatting sqref="M25:N25">
    <cfRule type="cellIs" dxfId="167" priority="80" operator="equal">
      <formula>"NO HABIL"</formula>
    </cfRule>
  </conditionalFormatting>
  <conditionalFormatting sqref="Q25:R25">
    <cfRule type="cellIs" dxfId="166" priority="79" operator="equal">
      <formula>"NO HABIL"</formula>
    </cfRule>
  </conditionalFormatting>
  <conditionalFormatting sqref="S25:T25">
    <cfRule type="cellIs" dxfId="165" priority="78" operator="equal">
      <formula>"NO HABIL"</formula>
    </cfRule>
  </conditionalFormatting>
  <conditionalFormatting sqref="D23">
    <cfRule type="cellIs" dxfId="164" priority="53" operator="equal">
      <formula>"NO"</formula>
    </cfRule>
  </conditionalFormatting>
  <conditionalFormatting sqref="E23">
    <cfRule type="cellIs" dxfId="163" priority="52" operator="equal">
      <formula>"NO"</formula>
    </cfRule>
  </conditionalFormatting>
  <conditionalFormatting sqref="G23">
    <cfRule type="cellIs" dxfId="162" priority="51" operator="equal">
      <formula>"NO"</formula>
    </cfRule>
  </conditionalFormatting>
  <conditionalFormatting sqref="I23">
    <cfRule type="cellIs" dxfId="161" priority="50" operator="equal">
      <formula>"NO"</formula>
    </cfRule>
  </conditionalFormatting>
  <conditionalFormatting sqref="K23">
    <cfRule type="cellIs" dxfId="160" priority="49" operator="equal">
      <formula>"NO"</formula>
    </cfRule>
  </conditionalFormatting>
  <conditionalFormatting sqref="M23">
    <cfRule type="cellIs" dxfId="159" priority="48" operator="equal">
      <formula>"NO"</formula>
    </cfRule>
  </conditionalFormatting>
  <conditionalFormatting sqref="O23">
    <cfRule type="cellIs" dxfId="158" priority="47" operator="equal">
      <formula>"NO"</formula>
    </cfRule>
  </conditionalFormatting>
  <conditionalFormatting sqref="Q23">
    <cfRule type="cellIs" dxfId="157" priority="46" operator="equal">
      <formula>"NO"</formula>
    </cfRule>
  </conditionalFormatting>
  <conditionalFormatting sqref="S23">
    <cfRule type="cellIs" dxfId="156" priority="45" operator="equal">
      <formula>"NO"</formula>
    </cfRule>
  </conditionalFormatting>
  <conditionalFormatting sqref="U23">
    <cfRule type="cellIs" dxfId="155" priority="44" operator="equal">
      <formula>"NO"</formula>
    </cfRule>
  </conditionalFormatting>
  <conditionalFormatting sqref="F13">
    <cfRule type="cellIs" dxfId="154" priority="10" operator="equal">
      <formula>"NO"</formula>
    </cfRule>
  </conditionalFormatting>
  <conditionalFormatting sqref="J13">
    <cfRule type="cellIs" dxfId="153" priority="9" operator="equal">
      <formula>"NO"</formula>
    </cfRule>
  </conditionalFormatting>
  <conditionalFormatting sqref="N13">
    <cfRule type="cellIs" dxfId="152" priority="8" operator="equal">
      <formula>"NO"</formula>
    </cfRule>
  </conditionalFormatting>
  <conditionalFormatting sqref="R13">
    <cfRule type="cellIs" dxfId="151" priority="7" operator="equal">
      <formula>"NO"</formula>
    </cfRule>
  </conditionalFormatting>
  <conditionalFormatting sqref="P13">
    <cfRule type="cellIs" dxfId="150" priority="6" operator="equal">
      <formula>"NO"</formula>
    </cfRule>
  </conditionalFormatting>
  <conditionalFormatting sqref="L13">
    <cfRule type="cellIs" dxfId="149" priority="5" operator="equal">
      <formula>"NO"</formula>
    </cfRule>
  </conditionalFormatting>
  <conditionalFormatting sqref="T13">
    <cfRule type="cellIs" dxfId="148" priority="4" operator="equal">
      <formula>"NO"</formula>
    </cfRule>
  </conditionalFormatting>
  <conditionalFormatting sqref="U13">
    <cfRule type="cellIs" dxfId="147" priority="2" operator="equal">
      <formula>"NO"</formula>
    </cfRule>
  </conditionalFormatting>
  <conditionalFormatting sqref="V13">
    <cfRule type="cellIs" dxfId="146" priority="1"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9"/>
  <sheetViews>
    <sheetView zoomScale="90" zoomScaleNormal="90" workbookViewId="0">
      <pane xSplit="4" ySplit="4" topLeftCell="AG5" activePane="bottomRight" state="frozen"/>
      <selection activeCell="E21" sqref="E21"/>
      <selection pane="topRight" activeCell="E21" sqref="E21"/>
      <selection pane="bottomLeft" activeCell="E21" sqref="E21"/>
      <selection pane="bottomRight" activeCell="AR14" sqref="AR14"/>
    </sheetView>
  </sheetViews>
  <sheetFormatPr baseColWidth="10" defaultRowHeight="15" x14ac:dyDescent="0.25"/>
  <cols>
    <col min="1" max="2" width="20.7109375" style="59" customWidth="1"/>
    <col min="3" max="3" width="2.7109375" style="59" customWidth="1"/>
    <col min="4" max="4" width="20.7109375" style="59" customWidth="1"/>
    <col min="5" max="5" width="2.7109375" style="59" customWidth="1"/>
    <col min="6" max="6" width="8.7109375" style="59" customWidth="1"/>
    <col min="7" max="7" width="20.7109375" style="59" customWidth="1"/>
    <col min="8" max="8" width="12.7109375" style="59" customWidth="1"/>
    <col min="9" max="9" width="3.28515625" customWidth="1"/>
    <col min="10" max="10" width="8.7109375" style="59" customWidth="1"/>
    <col min="11" max="11" width="20.7109375" style="59" customWidth="1"/>
    <col min="12" max="12" width="12.7109375" style="59" customWidth="1"/>
    <col min="13" max="13" width="3.28515625" customWidth="1"/>
    <col min="14" max="14" width="8.7109375" style="59" customWidth="1"/>
    <col min="15" max="15" width="20.7109375" style="59" customWidth="1"/>
    <col min="16" max="16" width="12.7109375" style="59" customWidth="1"/>
    <col min="17" max="17" width="3.28515625" customWidth="1"/>
    <col min="18" max="18" width="8.7109375" style="59" customWidth="1"/>
    <col min="19" max="19" width="20.7109375" style="59" customWidth="1"/>
    <col min="20" max="20" width="12.7109375" style="59" customWidth="1"/>
    <col min="21" max="21" width="3.28515625" customWidth="1"/>
    <col min="22" max="22" width="8.7109375" style="59" customWidth="1"/>
    <col min="23" max="23" width="20.7109375" style="59" customWidth="1"/>
    <col min="24" max="24" width="12.7109375" style="59" customWidth="1"/>
    <col min="25" max="25" width="2.7109375" style="59" customWidth="1"/>
    <col min="26" max="26" width="8.7109375" style="59" customWidth="1"/>
    <col min="27" max="27" width="20.7109375" style="59" customWidth="1"/>
    <col min="28" max="28" width="12.7109375" style="59" customWidth="1"/>
    <col min="29" max="29" width="2.7109375" style="59" customWidth="1"/>
    <col min="30" max="30" width="8.7109375" style="59" customWidth="1"/>
    <col min="31" max="31" width="20.7109375" style="59" customWidth="1"/>
    <col min="32" max="32" width="12.7109375" style="59" customWidth="1"/>
    <col min="33" max="33" width="3.28515625" customWidth="1"/>
    <col min="34" max="34" width="8.7109375" style="59" customWidth="1"/>
    <col min="35" max="35" width="20.7109375" style="59" customWidth="1"/>
    <col min="36" max="36" width="12.7109375" style="59" customWidth="1"/>
    <col min="37" max="37" width="3.28515625" customWidth="1"/>
    <col min="38" max="38" width="8.7109375" style="59" customWidth="1"/>
    <col min="39" max="39" width="20.7109375" style="59" customWidth="1"/>
    <col min="40" max="40" width="12.7109375" style="59" customWidth="1"/>
    <col min="41" max="41" width="2.7109375" style="59" customWidth="1"/>
    <col min="42" max="42" width="8.7109375" style="59" customWidth="1"/>
    <col min="43" max="43" width="20.7109375" style="59" customWidth="1"/>
    <col min="44" max="44" width="12.7109375" style="59" customWidth="1"/>
  </cols>
  <sheetData>
    <row r="1" spans="1:44" x14ac:dyDescent="0.25">
      <c r="G1" s="60" t="s">
        <v>100</v>
      </c>
      <c r="K1" s="60" t="s">
        <v>100</v>
      </c>
      <c r="O1" s="60" t="s">
        <v>100</v>
      </c>
      <c r="S1" s="60" t="s">
        <v>100</v>
      </c>
      <c r="W1" s="60" t="s">
        <v>100</v>
      </c>
      <c r="AA1" s="60" t="s">
        <v>100</v>
      </c>
      <c r="AE1" s="60" t="s">
        <v>100</v>
      </c>
      <c r="AI1" s="60" t="s">
        <v>100</v>
      </c>
      <c r="AM1" s="60" t="s">
        <v>100</v>
      </c>
      <c r="AQ1" s="60" t="s">
        <v>100</v>
      </c>
    </row>
    <row r="2" spans="1:44" x14ac:dyDescent="0.25">
      <c r="A2" s="310" t="s">
        <v>101</v>
      </c>
      <c r="B2" s="310"/>
      <c r="C2" s="61"/>
      <c r="D2" s="62" t="s">
        <v>102</v>
      </c>
      <c r="E2" s="61"/>
      <c r="F2" s="61"/>
      <c r="G2" s="62">
        <v>1</v>
      </c>
      <c r="H2" s="61"/>
      <c r="J2" s="61"/>
      <c r="K2" s="62">
        <v>2</v>
      </c>
      <c r="L2" s="61"/>
      <c r="N2" s="61"/>
      <c r="O2" s="62">
        <v>3</v>
      </c>
      <c r="P2" s="61"/>
      <c r="R2" s="61"/>
      <c r="S2" s="62">
        <v>4</v>
      </c>
      <c r="T2" s="61"/>
      <c r="V2" s="61"/>
      <c r="W2" s="62">
        <v>5</v>
      </c>
      <c r="X2" s="61"/>
      <c r="Y2" s="61"/>
      <c r="Z2" s="61"/>
      <c r="AA2" s="62">
        <v>6</v>
      </c>
      <c r="AB2" s="61"/>
      <c r="AC2" s="61"/>
      <c r="AD2" s="61"/>
      <c r="AE2" s="62">
        <v>7</v>
      </c>
      <c r="AF2" s="61"/>
      <c r="AH2" s="61"/>
      <c r="AI2" s="62">
        <v>8</v>
      </c>
      <c r="AJ2" s="61"/>
      <c r="AL2" s="61"/>
      <c r="AM2" s="62">
        <v>9</v>
      </c>
      <c r="AN2" s="61"/>
      <c r="AO2" s="61"/>
      <c r="AP2" s="61"/>
      <c r="AQ2" s="62">
        <v>10</v>
      </c>
      <c r="AR2" s="61"/>
    </row>
    <row r="3" spans="1:44" ht="38.25" x14ac:dyDescent="0.25">
      <c r="A3" s="310"/>
      <c r="B3" s="310"/>
      <c r="C3" s="63"/>
      <c r="D3" s="64" t="s">
        <v>113</v>
      </c>
      <c r="E3" s="63"/>
      <c r="F3" s="63"/>
      <c r="G3" s="64" t="s">
        <v>150</v>
      </c>
      <c r="H3" s="63"/>
      <c r="J3" s="63"/>
      <c r="K3" s="64" t="s">
        <v>149</v>
      </c>
      <c r="L3" s="63"/>
      <c r="N3" s="63"/>
      <c r="O3" s="64" t="s">
        <v>148</v>
      </c>
      <c r="P3" s="63"/>
      <c r="R3" s="63"/>
      <c r="S3" s="64" t="s">
        <v>172</v>
      </c>
      <c r="T3" s="63"/>
      <c r="V3" s="63"/>
      <c r="W3" s="64" t="s">
        <v>175</v>
      </c>
      <c r="X3" s="63"/>
      <c r="Y3" s="63"/>
      <c r="Z3" s="63"/>
      <c r="AA3" s="64" t="s">
        <v>176</v>
      </c>
      <c r="AB3" s="63"/>
      <c r="AC3" s="63"/>
      <c r="AD3" s="63"/>
      <c r="AE3" s="64" t="s">
        <v>177</v>
      </c>
      <c r="AF3" s="63"/>
      <c r="AH3" s="63"/>
      <c r="AI3" s="64" t="s">
        <v>147</v>
      </c>
      <c r="AJ3" s="63"/>
      <c r="AL3" s="63"/>
      <c r="AM3" s="64" t="s">
        <v>178</v>
      </c>
      <c r="AN3" s="63"/>
      <c r="AO3" s="63"/>
      <c r="AP3" s="63"/>
      <c r="AQ3" s="64" t="s">
        <v>179</v>
      </c>
      <c r="AR3" s="63"/>
    </row>
    <row r="4" spans="1:44" x14ac:dyDescent="0.25">
      <c r="C4" s="65"/>
      <c r="E4" s="65"/>
      <c r="F4" s="65"/>
      <c r="G4" s="66"/>
      <c r="H4" s="65"/>
      <c r="J4" s="65"/>
      <c r="K4" s="66"/>
      <c r="L4" s="65"/>
      <c r="N4" s="65"/>
      <c r="O4" s="66"/>
      <c r="P4" s="65"/>
      <c r="R4" s="65"/>
      <c r="S4" s="66"/>
      <c r="T4" s="65"/>
      <c r="V4" s="65"/>
      <c r="W4" s="66"/>
      <c r="X4" s="65"/>
      <c r="Y4" s="65"/>
      <c r="Z4" s="65"/>
      <c r="AA4" s="66"/>
      <c r="AB4" s="65"/>
      <c r="AC4" s="65"/>
      <c r="AD4" s="65"/>
      <c r="AE4" s="66"/>
      <c r="AF4" s="65"/>
      <c r="AH4" s="65"/>
      <c r="AI4" s="66"/>
      <c r="AJ4" s="65"/>
      <c r="AL4" s="65"/>
      <c r="AM4" s="66"/>
      <c r="AN4" s="65"/>
      <c r="AO4" s="65"/>
      <c r="AP4" s="65"/>
      <c r="AQ4" s="66"/>
      <c r="AR4" s="65"/>
    </row>
    <row r="5" spans="1:44" x14ac:dyDescent="0.25">
      <c r="A5" s="67"/>
    </row>
    <row r="6" spans="1:44" x14ac:dyDescent="0.25">
      <c r="A6" s="311" t="s">
        <v>103</v>
      </c>
      <c r="B6" s="312"/>
      <c r="D6" s="153">
        <v>354643712</v>
      </c>
      <c r="G6" s="68">
        <f>+G25+G35+G45+G55</f>
        <v>4436412695</v>
      </c>
      <c r="H6" s="66"/>
      <c r="K6" s="68">
        <f>+K25+K35+K45</f>
        <v>14172617362</v>
      </c>
      <c r="L6" s="66"/>
      <c r="O6" s="68">
        <f>+O25+O35+O45</f>
        <v>8863700685</v>
      </c>
      <c r="P6" s="66"/>
      <c r="S6" s="68">
        <f>+S25+S35+S45</f>
        <v>4025876209</v>
      </c>
      <c r="T6" s="66"/>
      <c r="W6" s="68">
        <f>+W25+W35+W45</f>
        <v>3525640853</v>
      </c>
      <c r="X6" s="66"/>
      <c r="AA6" s="68">
        <f>+AA25+AA35+AA45+AA55</f>
        <v>914064492</v>
      </c>
      <c r="AB6" s="66"/>
      <c r="AE6" s="68">
        <f>+AE25+AE35+AE45+AE55</f>
        <v>2549614621</v>
      </c>
      <c r="AF6" s="66"/>
      <c r="AI6" s="68">
        <f>+AI25+AI35+AI45</f>
        <v>3054556090</v>
      </c>
      <c r="AJ6" s="66"/>
      <c r="AM6" s="68">
        <f>+AM25+AM35+AM45</f>
        <v>5577190838</v>
      </c>
      <c r="AN6" s="66"/>
      <c r="AQ6" s="68">
        <f>+AQ25+AQ35+AQ45+AQ55</f>
        <v>1255973317</v>
      </c>
      <c r="AR6" s="66"/>
    </row>
    <row r="7" spans="1:44" x14ac:dyDescent="0.25">
      <c r="A7" s="67"/>
      <c r="B7" s="67"/>
      <c r="D7" s="150"/>
      <c r="G7" s="150"/>
      <c r="H7" s="66"/>
      <c r="K7" s="150"/>
      <c r="L7" s="66"/>
      <c r="O7" s="150"/>
      <c r="P7" s="66"/>
      <c r="S7" s="150"/>
      <c r="T7" s="66"/>
      <c r="W7" s="150"/>
      <c r="X7" s="66"/>
      <c r="AA7" s="150"/>
      <c r="AB7" s="66"/>
      <c r="AE7" s="150"/>
      <c r="AF7" s="66"/>
      <c r="AI7" s="150"/>
      <c r="AJ7" s="66"/>
      <c r="AM7" s="150"/>
      <c r="AN7" s="66"/>
      <c r="AQ7" s="150"/>
      <c r="AR7" s="66"/>
    </row>
    <row r="8" spans="1:44" x14ac:dyDescent="0.25">
      <c r="A8" s="313" t="s">
        <v>185</v>
      </c>
      <c r="B8" s="313"/>
      <c r="D8" s="314">
        <v>0.25</v>
      </c>
      <c r="F8" s="151">
        <v>1</v>
      </c>
      <c r="G8" s="152">
        <v>0.5</v>
      </c>
      <c r="H8" s="66" t="s">
        <v>97</v>
      </c>
      <c r="J8" s="151">
        <v>1</v>
      </c>
      <c r="K8" s="152">
        <v>1</v>
      </c>
      <c r="L8" s="66"/>
      <c r="N8" s="151">
        <v>1</v>
      </c>
      <c r="O8" s="152">
        <v>1</v>
      </c>
      <c r="P8" s="66"/>
      <c r="R8" s="151">
        <v>1</v>
      </c>
      <c r="S8" s="152">
        <v>1</v>
      </c>
      <c r="T8" s="66"/>
      <c r="V8" s="151">
        <v>1</v>
      </c>
      <c r="W8" s="152">
        <v>1</v>
      </c>
      <c r="X8" s="66"/>
      <c r="Z8" s="151">
        <v>1</v>
      </c>
      <c r="AA8" s="152">
        <v>0.5</v>
      </c>
      <c r="AB8" s="66" t="s">
        <v>97</v>
      </c>
      <c r="AD8" s="151">
        <v>1</v>
      </c>
      <c r="AE8" s="152">
        <v>0.7</v>
      </c>
      <c r="AF8" s="66" t="s">
        <v>97</v>
      </c>
      <c r="AH8" s="151">
        <v>1</v>
      </c>
      <c r="AI8" s="152">
        <v>1</v>
      </c>
      <c r="AJ8" s="66"/>
      <c r="AL8" s="151">
        <v>1</v>
      </c>
      <c r="AM8" s="152">
        <v>1</v>
      </c>
      <c r="AN8" s="66"/>
      <c r="AP8" s="151">
        <v>1</v>
      </c>
      <c r="AQ8" s="152">
        <v>0.5</v>
      </c>
      <c r="AR8" s="66" t="s">
        <v>97</v>
      </c>
    </row>
    <row r="9" spans="1:44" x14ac:dyDescent="0.25">
      <c r="A9" s="313"/>
      <c r="B9" s="313"/>
      <c r="D9" s="314"/>
      <c r="F9" s="151">
        <v>2</v>
      </c>
      <c r="G9" s="152">
        <v>0.5</v>
      </c>
      <c r="H9" s="66"/>
      <c r="J9" s="151"/>
      <c r="K9" s="152"/>
      <c r="L9" s="66"/>
      <c r="N9" s="151"/>
      <c r="O9" s="152"/>
      <c r="P9" s="66"/>
      <c r="R9" s="151"/>
      <c r="S9" s="152"/>
      <c r="T9" s="66"/>
      <c r="V9" s="151"/>
      <c r="W9" s="152"/>
      <c r="X9" s="66"/>
      <c r="Z9" s="151">
        <v>2</v>
      </c>
      <c r="AA9" s="152">
        <v>0.5</v>
      </c>
      <c r="AB9" s="66"/>
      <c r="AD9" s="151">
        <v>2</v>
      </c>
      <c r="AE9" s="152">
        <v>0.3</v>
      </c>
      <c r="AF9" s="66"/>
      <c r="AH9" s="151"/>
      <c r="AI9" s="152"/>
      <c r="AJ9" s="66"/>
      <c r="AL9" s="151"/>
      <c r="AM9" s="152"/>
      <c r="AN9" s="66"/>
      <c r="AP9" s="151">
        <v>2</v>
      </c>
      <c r="AQ9" s="152">
        <v>0.5</v>
      </c>
      <c r="AR9" s="66"/>
    </row>
    <row r="10" spans="1:44" x14ac:dyDescent="0.25">
      <c r="A10" s="313" t="s">
        <v>186</v>
      </c>
      <c r="B10" s="313"/>
      <c r="D10" s="315">
        <f>40%*D6</f>
        <v>141857484.80000001</v>
      </c>
      <c r="F10" s="151" t="s">
        <v>104</v>
      </c>
      <c r="G10" s="154">
        <f>+SUMIF(F$17:F$55,F10,G$17:G$55)</f>
        <v>3331389659</v>
      </c>
      <c r="H10" s="66" t="s">
        <v>97</v>
      </c>
      <c r="J10" s="151" t="s">
        <v>104</v>
      </c>
      <c r="K10" s="154">
        <f>+SUMIF(J$17:J$45,J10,K$17:K$45)</f>
        <v>14172617362</v>
      </c>
      <c r="L10" s="66"/>
      <c r="N10" s="151" t="s">
        <v>104</v>
      </c>
      <c r="O10" s="154">
        <f>+SUMIF(N$17:N$45,N10,O$17:O$45)</f>
        <v>8863700685</v>
      </c>
      <c r="P10" s="66"/>
      <c r="R10" s="151" t="s">
        <v>104</v>
      </c>
      <c r="S10" s="154">
        <f>+SUMIF(R$17:R$45,R10,S$17:S$45)</f>
        <v>4025876209</v>
      </c>
      <c r="T10" s="66"/>
      <c r="V10" s="151" t="s">
        <v>104</v>
      </c>
      <c r="W10" s="154">
        <f>+SUMIF(V$17:V$45,V10,W$17:W$45)</f>
        <v>3525640853</v>
      </c>
      <c r="X10" s="66"/>
      <c r="Z10" s="151" t="s">
        <v>104</v>
      </c>
      <c r="AA10" s="154">
        <f>+SUMIF(Z$17:Z$55,Z10,AA$17:AA$55)</f>
        <v>609535542</v>
      </c>
      <c r="AB10" s="66" t="s">
        <v>97</v>
      </c>
      <c r="AD10" s="151" t="s">
        <v>104</v>
      </c>
      <c r="AE10" s="154">
        <f>+SUMIF(AD$17:AD$45,AD10,AE$17:AE$45)</f>
        <v>2266967187</v>
      </c>
      <c r="AF10" s="66" t="s">
        <v>97</v>
      </c>
      <c r="AH10" s="151" t="s">
        <v>104</v>
      </c>
      <c r="AI10" s="154">
        <f>+SUMIF(AH$17:AH$45,AH10,AI$17:AI$45)</f>
        <v>3054556090</v>
      </c>
      <c r="AJ10" s="66"/>
      <c r="AL10" s="151" t="s">
        <v>104</v>
      </c>
      <c r="AM10" s="154">
        <f>+SUMIF(AL$17:AL$45,AL10,AM$17:AM$45)</f>
        <v>5577190838</v>
      </c>
      <c r="AN10" s="66"/>
      <c r="AP10" s="151" t="s">
        <v>104</v>
      </c>
      <c r="AQ10" s="154">
        <f>+SUMIF(AP$17:AP$45,AP10,AQ$17:AQ$45)</f>
        <v>815554951</v>
      </c>
      <c r="AR10" s="66" t="s">
        <v>97</v>
      </c>
    </row>
    <row r="11" spans="1:44" x14ac:dyDescent="0.25">
      <c r="A11" s="313"/>
      <c r="B11" s="313"/>
      <c r="D11" s="315"/>
      <c r="F11" s="151" t="s">
        <v>163</v>
      </c>
      <c r="G11" s="154">
        <f>+SUMIF(F$17:F$55,F11,G$17:G$55)</f>
        <v>1105023036</v>
      </c>
      <c r="H11" s="66"/>
      <c r="J11" s="151"/>
      <c r="K11" s="154">
        <f>+SUMIF(J$17:J$45,J11,K$17:K$45)</f>
        <v>0</v>
      </c>
      <c r="L11" s="66"/>
      <c r="N11" s="151"/>
      <c r="O11" s="154">
        <f>+SUMIF(N$17:N$45,N11,O$17:O$45)</f>
        <v>0</v>
      </c>
      <c r="P11" s="66"/>
      <c r="R11" s="151"/>
      <c r="S11" s="154">
        <f>+SUMIF(R$17:R$45,R11,S$17:S$45)</f>
        <v>0</v>
      </c>
      <c r="T11" s="66"/>
      <c r="V11" s="151"/>
      <c r="W11" s="154">
        <f>+SUMIF(V$17:V$45,V11,W$17:W$45)</f>
        <v>0</v>
      </c>
      <c r="X11" s="66"/>
      <c r="Z11" s="151" t="s">
        <v>163</v>
      </c>
      <c r="AA11" s="154">
        <f>+SUMIF(Z$17:Z$55,Z11,AA$17:AA$55)</f>
        <v>304528950</v>
      </c>
      <c r="AB11" s="66"/>
      <c r="AD11" s="151" t="s">
        <v>163</v>
      </c>
      <c r="AE11" s="154">
        <f>+SUMIF(AD$17:AD$45,AD11,AE$17:AE$45)</f>
        <v>282647434</v>
      </c>
      <c r="AF11" s="66"/>
      <c r="AH11" s="151"/>
      <c r="AI11" s="154">
        <f>+SUMIF(AH$17:AH$45,AH11,AI$17:AI$45)</f>
        <v>0</v>
      </c>
      <c r="AJ11" s="66"/>
      <c r="AL11" s="151"/>
      <c r="AM11" s="154">
        <f>+SUMIF(AL$17:AL$45,AL11,AM$17:AM$45)</f>
        <v>0</v>
      </c>
      <c r="AN11" s="66"/>
      <c r="AP11" s="151" t="s">
        <v>163</v>
      </c>
      <c r="AQ11" s="154">
        <f>+SUMIF(AP$17:AP$45,AP11,AQ$17:AQ$45)</f>
        <v>440418366</v>
      </c>
      <c r="AR11" s="66"/>
    </row>
    <row r="12" spans="1:44" x14ac:dyDescent="0.25">
      <c r="A12" s="313" t="s">
        <v>151</v>
      </c>
      <c r="B12" s="313"/>
      <c r="D12" s="315">
        <f>20%*D6</f>
        <v>70928742.400000006</v>
      </c>
      <c r="F12" s="151" t="s">
        <v>104</v>
      </c>
      <c r="G12" s="154">
        <f>+SUMIF(F$17:F$55,F12,G$17:G$55)</f>
        <v>3331389659</v>
      </c>
      <c r="H12" s="66" t="s">
        <v>97</v>
      </c>
      <c r="J12" s="151" t="s">
        <v>104</v>
      </c>
      <c r="K12" s="154">
        <f>+SUMIF(J$17:J$45,J12,K$17:K$45)</f>
        <v>14172617362</v>
      </c>
      <c r="L12" s="66"/>
      <c r="N12" s="151" t="s">
        <v>104</v>
      </c>
      <c r="O12" s="154">
        <f>+SUMIF(N$17:N$45,N12,O$17:O$45)</f>
        <v>8863700685</v>
      </c>
      <c r="P12" s="66"/>
      <c r="R12" s="151" t="s">
        <v>104</v>
      </c>
      <c r="S12" s="154">
        <f>+SUMIF(R$17:R$45,R12,S$17:S$45)</f>
        <v>4025876209</v>
      </c>
      <c r="T12" s="66"/>
      <c r="V12" s="151" t="s">
        <v>104</v>
      </c>
      <c r="W12" s="154">
        <f>+SUMIF(V$17:V$45,V12,W$17:W$45)</f>
        <v>3525640853</v>
      </c>
      <c r="X12" s="66"/>
      <c r="Z12" s="151" t="s">
        <v>104</v>
      </c>
      <c r="AA12" s="154">
        <f>+SUMIF(Z$17:Z$55,Z12,AA$17:AA$55)</f>
        <v>609535542</v>
      </c>
      <c r="AB12" s="66" t="s">
        <v>97</v>
      </c>
      <c r="AD12" s="151" t="s">
        <v>104</v>
      </c>
      <c r="AE12" s="154">
        <f>+SUMIF(AD$17:AD$45,AD12,AE$17:AE$45)</f>
        <v>2266967187</v>
      </c>
      <c r="AF12" s="66" t="s">
        <v>97</v>
      </c>
      <c r="AH12" s="151" t="s">
        <v>104</v>
      </c>
      <c r="AI12" s="154">
        <f>+SUMIF(AH$17:AH$45,AH12,AI$17:AI$45)</f>
        <v>3054556090</v>
      </c>
      <c r="AJ12" s="66"/>
      <c r="AL12" s="151" t="s">
        <v>104</v>
      </c>
      <c r="AM12" s="154">
        <f>+SUMIF(AL$17:AL$45,AL12,AM$17:AM$45)</f>
        <v>5577190838</v>
      </c>
      <c r="AN12" s="66"/>
      <c r="AP12" s="151" t="s">
        <v>104</v>
      </c>
      <c r="AQ12" s="154">
        <f>+SUMIF(AP$17:AP$45,AP12,AQ$17:AQ$45)</f>
        <v>815554951</v>
      </c>
      <c r="AR12" s="66" t="s">
        <v>97</v>
      </c>
    </row>
    <row r="13" spans="1:44" x14ac:dyDescent="0.25">
      <c r="A13" s="313"/>
      <c r="B13" s="313"/>
      <c r="D13" s="315"/>
      <c r="F13" s="151" t="s">
        <v>163</v>
      </c>
      <c r="G13" s="154">
        <f>+SUMIF(F$17:F$55,F13,G$17:G$55)</f>
        <v>1105023036</v>
      </c>
      <c r="H13" s="66" t="s">
        <v>97</v>
      </c>
      <c r="J13" s="151"/>
      <c r="K13" s="154">
        <f>+SUMIF(J$17:J$45,J13,K$17:K$45)</f>
        <v>0</v>
      </c>
      <c r="L13" s="66"/>
      <c r="N13" s="151"/>
      <c r="O13" s="154">
        <f>+SUMIF(N$17:N$45,N13,O$17:O$45)</f>
        <v>0</v>
      </c>
      <c r="P13" s="66"/>
      <c r="R13" s="151"/>
      <c r="S13" s="154">
        <f>+SUMIF(R$17:R$45,R13,S$17:S$45)</f>
        <v>0</v>
      </c>
      <c r="T13" s="66"/>
      <c r="V13" s="151"/>
      <c r="W13" s="154">
        <f>+SUMIF(V$17:V$45,V13,W$17:W$45)</f>
        <v>0</v>
      </c>
      <c r="X13" s="66"/>
      <c r="Z13" s="151" t="s">
        <v>163</v>
      </c>
      <c r="AA13" s="154">
        <f>+SUMIF(Z$17:Z$55,Z13,AA$17:AA$55)</f>
        <v>304528950</v>
      </c>
      <c r="AB13" s="66" t="s">
        <v>97</v>
      </c>
      <c r="AD13" s="151" t="s">
        <v>163</v>
      </c>
      <c r="AE13" s="154">
        <f>+SUMIF(AD$17:AD$45,AD13,AE$17:AE$45)</f>
        <v>282647434</v>
      </c>
      <c r="AF13" s="66" t="s">
        <v>97</v>
      </c>
      <c r="AH13" s="151"/>
      <c r="AI13" s="154">
        <f>+SUMIF(AH$17:AH$45,AH13,AI$17:AI$45)</f>
        <v>0</v>
      </c>
      <c r="AJ13" s="66"/>
      <c r="AL13" s="151"/>
      <c r="AM13" s="154">
        <f>+SUMIF(AL$17:AL$45,AL13,AM$17:AM$45)</f>
        <v>0</v>
      </c>
      <c r="AN13" s="66"/>
      <c r="AP13" s="151" t="s">
        <v>163</v>
      </c>
      <c r="AQ13" s="154">
        <f>+SUMIF(AP$17:AP$45,AP13,AQ$17:AQ$45)</f>
        <v>440418366</v>
      </c>
      <c r="AR13" s="66" t="s">
        <v>97</v>
      </c>
    </row>
    <row r="15" spans="1:44" x14ac:dyDescent="0.25">
      <c r="A15" s="311" t="s">
        <v>105</v>
      </c>
      <c r="B15" s="312" t="s">
        <v>106</v>
      </c>
      <c r="G15" s="69" t="str">
        <f>+IF(G6&gt;=$D6,"CUMPLE","NO CUMPLE")</f>
        <v>CUMPLE</v>
      </c>
      <c r="K15" s="69" t="str">
        <f>+IF(K6&gt;=$D6,"CUMPLE","NO CUMPLE")</f>
        <v>CUMPLE</v>
      </c>
      <c r="O15" s="69" t="str">
        <f>+IF(O6&gt;=$D6,"CUMPLE","NO CUMPLE")</f>
        <v>CUMPLE</v>
      </c>
      <c r="S15" s="69" t="str">
        <f>+IF(S6&gt;=$D6,"CUMPLE","NO CUMPLE")</f>
        <v>CUMPLE</v>
      </c>
      <c r="W15" s="69" t="str">
        <f>+IF(W6&gt;=$D6,"CUMPLE","NO CUMPLE")</f>
        <v>CUMPLE</v>
      </c>
      <c r="AA15" s="69" t="str">
        <f>+IF(AA6&gt;=$D6,"CUMPLE","NO CUMPLE")</f>
        <v>CUMPLE</v>
      </c>
      <c r="AE15" s="69" t="str">
        <f>+IF(AE6&gt;=$D6,"CUMPLE","NO CUMPLE")</f>
        <v>CUMPLE</v>
      </c>
      <c r="AI15" s="69" t="str">
        <f>+IF(AI6&gt;=$D6,"CUMPLE","NO CUMPLE")</f>
        <v>CUMPLE</v>
      </c>
      <c r="AM15" s="69" t="str">
        <f>+IF(AM6&gt;=$D6,"CUMPLE","NO CUMPLE")</f>
        <v>CUMPLE</v>
      </c>
      <c r="AQ15" s="69" t="str">
        <f>+IF(AQ6&gt;=$D6,"CUMPLE","NO CUMPLE")</f>
        <v>CUMPLE</v>
      </c>
    </row>
    <row r="16" spans="1:44" x14ac:dyDescent="0.25">
      <c r="A16" s="67"/>
    </row>
    <row r="17" spans="1:44" x14ac:dyDescent="0.25">
      <c r="A17" s="70" t="s">
        <v>107</v>
      </c>
      <c r="B17" s="71"/>
      <c r="F17" s="87"/>
      <c r="G17" s="88" t="s">
        <v>107</v>
      </c>
      <c r="H17" s="89"/>
      <c r="J17" s="87"/>
      <c r="K17" s="88" t="s">
        <v>107</v>
      </c>
      <c r="L17" s="89"/>
      <c r="N17" s="87"/>
      <c r="O17" s="88" t="s">
        <v>107</v>
      </c>
      <c r="P17" s="89"/>
      <c r="R17" s="87"/>
      <c r="S17" s="88" t="s">
        <v>107</v>
      </c>
      <c r="T17" s="89"/>
      <c r="V17" s="87"/>
      <c r="W17" s="88" t="s">
        <v>107</v>
      </c>
      <c r="X17" s="89"/>
      <c r="Z17" s="87"/>
      <c r="AA17" s="88" t="s">
        <v>107</v>
      </c>
      <c r="AB17" s="89"/>
      <c r="AD17" s="87"/>
      <c r="AE17" s="88" t="s">
        <v>107</v>
      </c>
      <c r="AF17" s="89"/>
      <c r="AH17" s="87"/>
      <c r="AI17" s="88" t="s">
        <v>107</v>
      </c>
      <c r="AJ17" s="89"/>
      <c r="AL17" s="87"/>
      <c r="AM17" s="88" t="s">
        <v>107</v>
      </c>
      <c r="AN17" s="89"/>
      <c r="AP17" s="87"/>
      <c r="AQ17" s="88" t="s">
        <v>107</v>
      </c>
      <c r="AR17" s="89"/>
    </row>
    <row r="18" spans="1:44" x14ac:dyDescent="0.25">
      <c r="A18" s="72"/>
      <c r="B18" s="73"/>
      <c r="F18" s="85"/>
      <c r="G18" s="84"/>
      <c r="H18" s="79"/>
      <c r="J18" s="85"/>
      <c r="K18" s="84"/>
      <c r="L18" s="79"/>
      <c r="N18" s="85"/>
      <c r="O18" s="84"/>
      <c r="P18" s="79"/>
      <c r="R18" s="85"/>
      <c r="S18" s="84"/>
      <c r="T18" s="79"/>
      <c r="V18" s="85"/>
      <c r="W18" s="84"/>
      <c r="X18" s="79"/>
      <c r="Z18" s="85"/>
      <c r="AA18" s="84"/>
      <c r="AB18" s="79"/>
      <c r="AD18" s="85"/>
      <c r="AE18" s="84"/>
      <c r="AF18" s="79"/>
      <c r="AH18" s="85"/>
      <c r="AI18" s="84"/>
      <c r="AJ18" s="79"/>
      <c r="AL18" s="85"/>
      <c r="AM18" s="84"/>
      <c r="AN18" s="79"/>
      <c r="AP18" s="85"/>
      <c r="AQ18" s="84"/>
      <c r="AR18" s="79"/>
    </row>
    <row r="19" spans="1:44" x14ac:dyDescent="0.25">
      <c r="A19" s="72" t="s">
        <v>108</v>
      </c>
      <c r="B19" s="73"/>
      <c r="F19" s="74" t="s">
        <v>109</v>
      </c>
      <c r="G19" s="75">
        <f>713877724.3-1019.3</f>
        <v>713876705</v>
      </c>
      <c r="H19" s="76" t="s">
        <v>97</v>
      </c>
      <c r="J19" s="74" t="s">
        <v>109</v>
      </c>
      <c r="K19" s="75">
        <v>484146740</v>
      </c>
      <c r="L19" s="76" t="s">
        <v>97</v>
      </c>
      <c r="N19" s="74" t="s">
        <v>109</v>
      </c>
      <c r="O19" s="75">
        <f>135070037.2+66914832.63</f>
        <v>201984869.82999998</v>
      </c>
      <c r="P19" s="76" t="s">
        <v>97</v>
      </c>
      <c r="R19" s="74" t="s">
        <v>109</v>
      </c>
      <c r="S19" s="75">
        <v>8630061818</v>
      </c>
      <c r="T19" s="76" t="s">
        <v>97</v>
      </c>
      <c r="V19" s="74" t="s">
        <v>109</v>
      </c>
      <c r="W19" s="75">
        <v>230441865.75</v>
      </c>
      <c r="X19" s="76" t="s">
        <v>97</v>
      </c>
      <c r="Z19" s="74" t="s">
        <v>109</v>
      </c>
      <c r="AA19" s="75">
        <v>293014012</v>
      </c>
      <c r="AB19" s="76" t="s">
        <v>97</v>
      </c>
      <c r="AD19" s="74" t="s">
        <v>109</v>
      </c>
      <c r="AE19" s="75">
        <v>1263323000</v>
      </c>
      <c r="AF19" s="76" t="s">
        <v>97</v>
      </c>
      <c r="AH19" s="74" t="s">
        <v>109</v>
      </c>
      <c r="AI19" s="75">
        <v>1197696000</v>
      </c>
      <c r="AJ19" s="76" t="s">
        <v>97</v>
      </c>
      <c r="AL19" s="74" t="s">
        <v>109</v>
      </c>
      <c r="AM19" s="75">
        <v>19384707726</v>
      </c>
      <c r="AN19" s="76" t="s">
        <v>97</v>
      </c>
      <c r="AP19" s="74" t="s">
        <v>109</v>
      </c>
      <c r="AQ19" s="75">
        <v>4344661921.3400002</v>
      </c>
      <c r="AR19" s="76" t="s">
        <v>97</v>
      </c>
    </row>
    <row r="20" spans="1:44" ht="15" customHeight="1" x14ac:dyDescent="0.25">
      <c r="A20" s="72" t="s">
        <v>110</v>
      </c>
      <c r="B20" s="73"/>
      <c r="F20" s="85"/>
      <c r="G20" s="84">
        <v>2015</v>
      </c>
      <c r="H20" s="309" t="s">
        <v>187</v>
      </c>
      <c r="J20" s="85"/>
      <c r="K20" s="84">
        <v>2000</v>
      </c>
      <c r="L20" s="309" t="s">
        <v>187</v>
      </c>
      <c r="N20" s="85"/>
      <c r="O20" s="84">
        <v>1986</v>
      </c>
      <c r="P20" s="309" t="s">
        <v>187</v>
      </c>
      <c r="R20" s="85"/>
      <c r="S20" s="84">
        <v>2013</v>
      </c>
      <c r="T20" s="309" t="s">
        <v>187</v>
      </c>
      <c r="V20" s="85"/>
      <c r="W20" s="84">
        <v>2005</v>
      </c>
      <c r="X20" s="309" t="s">
        <v>187</v>
      </c>
      <c r="Z20" s="85"/>
      <c r="AA20" s="84">
        <v>2011</v>
      </c>
      <c r="AB20" s="309" t="s">
        <v>187</v>
      </c>
      <c r="AD20" s="85"/>
      <c r="AE20" s="84">
        <v>2011</v>
      </c>
      <c r="AF20" s="309" t="s">
        <v>187</v>
      </c>
      <c r="AH20" s="85"/>
      <c r="AI20" s="84">
        <v>2015</v>
      </c>
      <c r="AJ20" s="309" t="s">
        <v>187</v>
      </c>
      <c r="AL20" s="85"/>
      <c r="AM20" s="84">
        <v>2013</v>
      </c>
      <c r="AN20" s="309" t="s">
        <v>187</v>
      </c>
      <c r="AP20" s="85"/>
      <c r="AQ20" s="84">
        <v>2013</v>
      </c>
      <c r="AR20" s="309" t="s">
        <v>187</v>
      </c>
    </row>
    <row r="21" spans="1:44" x14ac:dyDescent="0.25">
      <c r="A21" s="77" t="s">
        <v>111</v>
      </c>
      <c r="B21" s="73"/>
      <c r="F21" s="155">
        <v>0.99</v>
      </c>
      <c r="G21" s="149">
        <v>0.99</v>
      </c>
      <c r="H21" s="309"/>
      <c r="J21" s="155">
        <v>1</v>
      </c>
      <c r="K21" s="149">
        <v>1</v>
      </c>
      <c r="L21" s="309"/>
      <c r="N21" s="155">
        <v>1</v>
      </c>
      <c r="O21" s="149">
        <v>1</v>
      </c>
      <c r="P21" s="309"/>
      <c r="R21" s="155">
        <v>0.2</v>
      </c>
      <c r="S21" s="149">
        <v>0.2</v>
      </c>
      <c r="T21" s="309"/>
      <c r="V21" s="155">
        <v>1</v>
      </c>
      <c r="W21" s="149">
        <v>1</v>
      </c>
      <c r="X21" s="309"/>
      <c r="Z21" s="155">
        <v>0.5</v>
      </c>
      <c r="AA21" s="149">
        <v>0.5</v>
      </c>
      <c r="AB21" s="309"/>
      <c r="AD21" s="155">
        <v>0.9</v>
      </c>
      <c r="AE21" s="149">
        <v>0.9</v>
      </c>
      <c r="AF21" s="309"/>
      <c r="AH21" s="155">
        <v>1</v>
      </c>
      <c r="AI21" s="149">
        <v>1</v>
      </c>
      <c r="AJ21" s="309"/>
      <c r="AL21" s="199">
        <v>0.16500000000000001</v>
      </c>
      <c r="AM21" s="198">
        <v>0.16500000000000001</v>
      </c>
      <c r="AN21" s="309"/>
      <c r="AP21" s="155">
        <v>0.15</v>
      </c>
      <c r="AQ21" s="149">
        <v>0.15</v>
      </c>
      <c r="AR21" s="309"/>
    </row>
    <row r="22" spans="1:44" x14ac:dyDescent="0.25">
      <c r="A22" s="77"/>
      <c r="B22" s="73"/>
      <c r="F22" s="85"/>
      <c r="G22" s="78"/>
      <c r="H22" s="309"/>
      <c r="J22" s="85"/>
      <c r="K22" s="78"/>
      <c r="L22" s="309"/>
      <c r="N22" s="85"/>
      <c r="O22" s="78"/>
      <c r="P22" s="309"/>
      <c r="R22" s="85"/>
      <c r="S22" s="78"/>
      <c r="T22" s="309"/>
      <c r="V22" s="85"/>
      <c r="W22" s="78"/>
      <c r="X22" s="309"/>
      <c r="Z22" s="85"/>
      <c r="AA22" s="78"/>
      <c r="AB22" s="309"/>
      <c r="AD22" s="85"/>
      <c r="AE22" s="78"/>
      <c r="AF22" s="309"/>
      <c r="AH22" s="85"/>
      <c r="AI22" s="78"/>
      <c r="AJ22" s="309"/>
      <c r="AL22" s="85"/>
      <c r="AM22" s="78"/>
      <c r="AN22" s="309"/>
      <c r="AP22" s="85"/>
      <c r="AQ22" s="78"/>
      <c r="AR22" s="309"/>
    </row>
    <row r="23" spans="1:44" x14ac:dyDescent="0.25">
      <c r="A23" s="77"/>
      <c r="B23" s="73"/>
      <c r="F23" s="85"/>
      <c r="G23" s="78"/>
      <c r="H23" s="309"/>
      <c r="J23" s="85"/>
      <c r="K23" s="78"/>
      <c r="L23" s="309"/>
      <c r="N23" s="85"/>
      <c r="O23" s="78"/>
      <c r="P23" s="309"/>
      <c r="R23" s="85"/>
      <c r="S23" s="78"/>
      <c r="T23" s="309"/>
      <c r="V23" s="85"/>
      <c r="W23" s="78"/>
      <c r="X23" s="309"/>
      <c r="Z23" s="85"/>
      <c r="AA23" s="78"/>
      <c r="AB23" s="309"/>
      <c r="AD23" s="85"/>
      <c r="AE23" s="78"/>
      <c r="AF23" s="309"/>
      <c r="AH23" s="85"/>
      <c r="AI23" s="78"/>
      <c r="AJ23" s="309"/>
      <c r="AL23" s="85"/>
      <c r="AM23" s="78"/>
      <c r="AN23" s="309"/>
      <c r="AP23" s="85"/>
      <c r="AQ23" s="78"/>
      <c r="AR23" s="309"/>
    </row>
    <row r="24" spans="1:44" x14ac:dyDescent="0.25">
      <c r="A24" s="72"/>
      <c r="B24" s="73"/>
      <c r="F24" s="85"/>
      <c r="G24" s="78"/>
      <c r="H24" s="309"/>
      <c r="J24" s="85"/>
      <c r="K24" s="78"/>
      <c r="L24" s="309"/>
      <c r="N24" s="85"/>
      <c r="O24" s="78"/>
      <c r="P24" s="309"/>
      <c r="R24" s="85"/>
      <c r="S24" s="78"/>
      <c r="T24" s="309"/>
      <c r="V24" s="85"/>
      <c r="W24" s="78"/>
      <c r="X24" s="309"/>
      <c r="Z24" s="85"/>
      <c r="AA24" s="78"/>
      <c r="AB24" s="309"/>
      <c r="AD24" s="85"/>
      <c r="AE24" s="78"/>
      <c r="AF24" s="309"/>
      <c r="AH24" s="85"/>
      <c r="AI24" s="78"/>
      <c r="AJ24" s="309"/>
      <c r="AL24" s="85"/>
      <c r="AM24" s="78"/>
      <c r="AN24" s="309"/>
      <c r="AP24" s="85"/>
      <c r="AQ24" s="78"/>
      <c r="AR24" s="309"/>
    </row>
    <row r="25" spans="1:44" x14ac:dyDescent="0.25">
      <c r="A25" s="80" t="s">
        <v>114</v>
      </c>
      <c r="B25" s="81"/>
      <c r="F25" s="82" t="s">
        <v>104</v>
      </c>
      <c r="G25" s="83">
        <f>+ROUND(G19*G21*$B$89/(LOOKUP(G20,$A$58:$A$89,$B$58:$B$89)),0)</f>
        <v>809145016</v>
      </c>
      <c r="H25" s="86">
        <f>+ROUND(G25/$B$89,2)</f>
        <v>1096.82</v>
      </c>
      <c r="J25" s="82" t="s">
        <v>104</v>
      </c>
      <c r="K25" s="83">
        <f>+ROUND(K19*K21*$B$89/(LOOKUP(K20,$A$58:$A$89,$B$58:$B$89)),0)</f>
        <v>1373176780</v>
      </c>
      <c r="L25" s="86">
        <f>+ROUND(K25/$B$89,2)</f>
        <v>1861.39</v>
      </c>
      <c r="N25" s="82" t="s">
        <v>104</v>
      </c>
      <c r="O25" s="83">
        <f>+ROUND(O19*O21*$B$89/(LOOKUP(O20,$A$58:$A$89,$B$58:$B$89)),0)</f>
        <v>8863700685</v>
      </c>
      <c r="P25" s="86">
        <f>+ROUND(O25/$B$89,2)</f>
        <v>12015.04</v>
      </c>
      <c r="R25" s="82" t="s">
        <v>104</v>
      </c>
      <c r="S25" s="83">
        <f>+ROUND(S19*S21*$B$89/(LOOKUP(S20,$A$58:$A$89,$B$58:$B$89)),0)</f>
        <v>2159980768</v>
      </c>
      <c r="T25" s="86">
        <f>+ROUND(S25/$B$89,2)</f>
        <v>2927.93</v>
      </c>
      <c r="V25" s="82" t="s">
        <v>104</v>
      </c>
      <c r="W25" s="83">
        <f>+ROUND(W19*W21*$B$89/(LOOKUP(W20,$A$58:$A$89,$B$58:$B$89)),0)</f>
        <v>445611748</v>
      </c>
      <c r="X25" s="86">
        <f>+ROUND(W25/$B$89,2)</f>
        <v>604.04</v>
      </c>
      <c r="Z25" s="82" t="s">
        <v>104</v>
      </c>
      <c r="AA25" s="83">
        <f>+ROUND(AA19*AA21*$B$89/(LOOKUP(AA20,$A$58:$A$89,$B$58:$B$89)),0)</f>
        <v>201793706</v>
      </c>
      <c r="AB25" s="86">
        <f>+ROUND(AA25/$B$89,2)</f>
        <v>273.54000000000002</v>
      </c>
      <c r="AD25" s="82" t="s">
        <v>104</v>
      </c>
      <c r="AE25" s="83">
        <f>+ROUND(AE19*AE21*$B$89/(LOOKUP(AE20,$A$58:$A$89,$B$58:$B$89)),0)</f>
        <v>1566051845</v>
      </c>
      <c r="AF25" s="86">
        <f>+ROUND(AE25/$B$89,2)</f>
        <v>2122.84</v>
      </c>
      <c r="AH25" s="82" t="s">
        <v>104</v>
      </c>
      <c r="AI25" s="83">
        <f>+ROUND(AI19*AI21*$B$89/(LOOKUP(AI20,$A$58:$A$89,$B$58:$B$89)),0)</f>
        <v>1371243424</v>
      </c>
      <c r="AJ25" s="86">
        <f>+ROUND(AI25/$B$89,2)</f>
        <v>1858.77</v>
      </c>
      <c r="AL25" s="82" t="s">
        <v>104</v>
      </c>
      <c r="AM25" s="83">
        <f>+ROUND(AM19*AM21*$B$89/(LOOKUP(AM20,$A$58:$A$89,$B$58:$B$89)),0)</f>
        <v>4002664446</v>
      </c>
      <c r="AN25" s="86">
        <f>+ROUND(AM25/$B$89,2)</f>
        <v>5425.75</v>
      </c>
      <c r="AP25" s="82" t="s">
        <v>104</v>
      </c>
      <c r="AQ25" s="83">
        <f>+ROUND(AQ19*AQ21*$B$89/(LOOKUP(AQ20,$A$58:$A$89,$B$58:$B$89)),0)</f>
        <v>815554951</v>
      </c>
      <c r="AR25" s="86">
        <f>+ROUND(AQ25/$B$89,2)</f>
        <v>1105.51</v>
      </c>
    </row>
    <row r="27" spans="1:44" x14ac:dyDescent="0.25">
      <c r="A27" s="70" t="s">
        <v>112</v>
      </c>
      <c r="B27" s="71"/>
      <c r="F27" s="87"/>
      <c r="G27" s="88" t="s">
        <v>112</v>
      </c>
      <c r="H27" s="89"/>
      <c r="J27" s="87"/>
      <c r="K27" s="88" t="s">
        <v>112</v>
      </c>
      <c r="L27" s="89"/>
      <c r="N27" s="87"/>
      <c r="O27" s="88" t="s">
        <v>112</v>
      </c>
      <c r="P27" s="89"/>
      <c r="R27" s="87"/>
      <c r="S27" s="88" t="s">
        <v>112</v>
      </c>
      <c r="T27" s="89"/>
      <c r="V27" s="87"/>
      <c r="W27" s="88" t="s">
        <v>112</v>
      </c>
      <c r="X27" s="89"/>
      <c r="Z27" s="87"/>
      <c r="AA27" s="88" t="s">
        <v>107</v>
      </c>
      <c r="AB27" s="89"/>
      <c r="AD27" s="87"/>
      <c r="AE27" s="88" t="s">
        <v>112</v>
      </c>
      <c r="AF27" s="89"/>
      <c r="AH27" s="87"/>
      <c r="AI27" s="88" t="s">
        <v>112</v>
      </c>
      <c r="AJ27" s="89"/>
      <c r="AL27" s="87"/>
      <c r="AM27" s="88" t="s">
        <v>112</v>
      </c>
      <c r="AN27" s="89"/>
      <c r="AP27" s="87"/>
      <c r="AQ27" s="88" t="s">
        <v>112</v>
      </c>
      <c r="AR27" s="89"/>
    </row>
    <row r="28" spans="1:44" x14ac:dyDescent="0.25">
      <c r="A28" s="72"/>
      <c r="B28" s="73"/>
      <c r="F28" s="85"/>
      <c r="G28" s="84"/>
      <c r="H28" s="79"/>
      <c r="J28" s="85"/>
      <c r="K28" s="84"/>
      <c r="L28" s="79"/>
      <c r="N28" s="85"/>
      <c r="O28" s="84"/>
      <c r="P28" s="79"/>
      <c r="R28" s="85"/>
      <c r="S28" s="84"/>
      <c r="T28" s="79"/>
      <c r="V28" s="85"/>
      <c r="W28" s="84"/>
      <c r="X28" s="79"/>
      <c r="Z28" s="85"/>
      <c r="AA28" s="84"/>
      <c r="AB28" s="79"/>
      <c r="AD28" s="85"/>
      <c r="AE28" s="84"/>
      <c r="AF28" s="79"/>
      <c r="AH28" s="85"/>
      <c r="AI28" s="84"/>
      <c r="AJ28" s="79"/>
      <c r="AL28" s="85"/>
      <c r="AM28" s="84"/>
      <c r="AN28" s="79"/>
      <c r="AP28" s="85"/>
      <c r="AQ28" s="84"/>
      <c r="AR28" s="79"/>
    </row>
    <row r="29" spans="1:44" x14ac:dyDescent="0.25">
      <c r="A29" s="72" t="s">
        <v>108</v>
      </c>
      <c r="B29" s="73"/>
      <c r="F29" s="74" t="s">
        <v>109</v>
      </c>
      <c r="G29" s="75">
        <v>1930338038.6300001</v>
      </c>
      <c r="H29" s="76" t="s">
        <v>97</v>
      </c>
      <c r="J29" s="74" t="s">
        <v>109</v>
      </c>
      <c r="K29" s="75">
        <v>7274160448</v>
      </c>
      <c r="L29" s="76" t="s">
        <v>97</v>
      </c>
      <c r="N29" s="74" t="s">
        <v>109</v>
      </c>
      <c r="O29" s="75">
        <v>0</v>
      </c>
      <c r="P29" s="76"/>
      <c r="R29" s="74" t="s">
        <v>109</v>
      </c>
      <c r="S29" s="75">
        <v>1187183688</v>
      </c>
      <c r="T29" s="76" t="s">
        <v>97</v>
      </c>
      <c r="V29" s="74" t="s">
        <v>109</v>
      </c>
      <c r="W29" s="75">
        <v>220955875</v>
      </c>
      <c r="X29" s="76" t="s">
        <v>97</v>
      </c>
      <c r="Z29" s="74" t="s">
        <v>109</v>
      </c>
      <c r="AA29" s="75">
        <v>293014012</v>
      </c>
      <c r="AB29" s="76" t="s">
        <v>97</v>
      </c>
      <c r="AD29" s="74" t="s">
        <v>109</v>
      </c>
      <c r="AE29" s="75">
        <v>655059984</v>
      </c>
      <c r="AF29" s="76" t="s">
        <v>97</v>
      </c>
      <c r="AH29" s="74" t="s">
        <v>109</v>
      </c>
      <c r="AI29" s="75">
        <v>626698680</v>
      </c>
      <c r="AJ29" s="76" t="s">
        <v>97</v>
      </c>
      <c r="AL29" s="74" t="s">
        <v>109</v>
      </c>
      <c r="AM29" s="75">
        <v>6290917167</v>
      </c>
      <c r="AN29" s="76" t="s">
        <v>97</v>
      </c>
      <c r="AP29" s="74" t="s">
        <v>109</v>
      </c>
      <c r="AQ29" s="75">
        <v>699230219</v>
      </c>
      <c r="AR29" s="76" t="s">
        <v>97</v>
      </c>
    </row>
    <row r="30" spans="1:44" ht="15" customHeight="1" x14ac:dyDescent="0.25">
      <c r="A30" s="72" t="s">
        <v>110</v>
      </c>
      <c r="B30" s="73"/>
      <c r="F30" s="85"/>
      <c r="G30" s="84">
        <v>2015</v>
      </c>
      <c r="H30" s="309" t="s">
        <v>187</v>
      </c>
      <c r="J30" s="85"/>
      <c r="K30" s="84">
        <v>2007</v>
      </c>
      <c r="L30" s="309" t="s">
        <v>187</v>
      </c>
      <c r="N30" s="85"/>
      <c r="O30" s="84">
        <v>2000</v>
      </c>
      <c r="P30" s="309"/>
      <c r="R30" s="85"/>
      <c r="S30" s="84">
        <v>2015</v>
      </c>
      <c r="T30" s="309" t="s">
        <v>187</v>
      </c>
      <c r="V30" s="85"/>
      <c r="W30" s="84">
        <v>2012</v>
      </c>
      <c r="X30" s="309" t="s">
        <v>187</v>
      </c>
      <c r="Z30" s="85"/>
      <c r="AA30" s="84">
        <v>2011</v>
      </c>
      <c r="AB30" s="309">
        <v>721214</v>
      </c>
      <c r="AD30" s="85"/>
      <c r="AE30" s="84">
        <v>2016</v>
      </c>
      <c r="AF30" s="309">
        <v>721214</v>
      </c>
      <c r="AH30" s="85"/>
      <c r="AI30" s="84">
        <v>2011</v>
      </c>
      <c r="AJ30" s="309" t="s">
        <v>187</v>
      </c>
      <c r="AL30" s="85"/>
      <c r="AM30" s="84">
        <v>2013</v>
      </c>
      <c r="AN30" s="309" t="s">
        <v>187</v>
      </c>
      <c r="AP30" s="85"/>
      <c r="AQ30" s="84">
        <v>2015</v>
      </c>
      <c r="AR30" s="309" t="s">
        <v>187</v>
      </c>
    </row>
    <row r="31" spans="1:44" x14ac:dyDescent="0.25">
      <c r="A31" s="77" t="s">
        <v>111</v>
      </c>
      <c r="B31" s="73"/>
      <c r="F31" s="155">
        <v>0.5</v>
      </c>
      <c r="G31" s="78">
        <v>0.5</v>
      </c>
      <c r="H31" s="309"/>
      <c r="J31" s="155">
        <v>1</v>
      </c>
      <c r="K31" s="78">
        <v>1</v>
      </c>
      <c r="L31" s="309"/>
      <c r="N31" s="155">
        <v>0</v>
      </c>
      <c r="O31" s="78">
        <v>0</v>
      </c>
      <c r="P31" s="309"/>
      <c r="R31" s="155">
        <v>1</v>
      </c>
      <c r="S31" s="78">
        <v>1</v>
      </c>
      <c r="T31" s="309"/>
      <c r="V31" s="155">
        <v>0.8</v>
      </c>
      <c r="W31" s="78">
        <v>0.8</v>
      </c>
      <c r="X31" s="309"/>
      <c r="Z31" s="155">
        <v>0.5</v>
      </c>
      <c r="AA31" s="149">
        <v>0.5</v>
      </c>
      <c r="AB31" s="309"/>
      <c r="AD31" s="155">
        <v>1</v>
      </c>
      <c r="AE31" s="78">
        <v>1</v>
      </c>
      <c r="AF31" s="309"/>
      <c r="AH31" s="155">
        <v>1</v>
      </c>
      <c r="AI31" s="78">
        <v>1</v>
      </c>
      <c r="AJ31" s="309"/>
      <c r="AL31" s="155">
        <v>0.2</v>
      </c>
      <c r="AM31" s="78">
        <v>0.2</v>
      </c>
      <c r="AN31" s="309"/>
      <c r="AP31" s="155">
        <v>0.35</v>
      </c>
      <c r="AQ31" s="78">
        <v>0.35</v>
      </c>
      <c r="AR31" s="309"/>
    </row>
    <row r="32" spans="1:44" x14ac:dyDescent="0.25">
      <c r="A32" s="77"/>
      <c r="B32" s="73"/>
      <c r="F32" s="85"/>
      <c r="G32" s="78"/>
      <c r="H32" s="309"/>
      <c r="J32" s="85"/>
      <c r="K32" s="78"/>
      <c r="L32" s="309"/>
      <c r="N32" s="85"/>
      <c r="O32" s="78"/>
      <c r="P32" s="309"/>
      <c r="R32" s="85"/>
      <c r="S32" s="78"/>
      <c r="T32" s="309"/>
      <c r="V32" s="85"/>
      <c r="W32" s="78"/>
      <c r="X32" s="309"/>
      <c r="Z32" s="85"/>
      <c r="AA32" s="78"/>
      <c r="AB32" s="309"/>
      <c r="AD32" s="85"/>
      <c r="AE32" s="78"/>
      <c r="AF32" s="309"/>
      <c r="AH32" s="85"/>
      <c r="AI32" s="78"/>
      <c r="AJ32" s="309"/>
      <c r="AL32" s="85"/>
      <c r="AM32" s="78"/>
      <c r="AN32" s="309"/>
      <c r="AP32" s="85"/>
      <c r="AQ32" s="78"/>
      <c r="AR32" s="309"/>
    </row>
    <row r="33" spans="1:44" x14ac:dyDescent="0.25">
      <c r="A33" s="77"/>
      <c r="B33" s="73"/>
      <c r="F33" s="85"/>
      <c r="G33" s="78"/>
      <c r="H33" s="309"/>
      <c r="J33" s="85"/>
      <c r="K33" s="78"/>
      <c r="L33" s="309"/>
      <c r="N33" s="85"/>
      <c r="O33" s="78"/>
      <c r="P33" s="309"/>
      <c r="R33" s="85"/>
      <c r="S33" s="78"/>
      <c r="T33" s="309"/>
      <c r="V33" s="85"/>
      <c r="W33" s="78"/>
      <c r="X33" s="309"/>
      <c r="Z33" s="85"/>
      <c r="AA33" s="78"/>
      <c r="AB33" s="309"/>
      <c r="AD33" s="85"/>
      <c r="AE33" s="78"/>
      <c r="AF33" s="309"/>
      <c r="AH33" s="85"/>
      <c r="AI33" s="78"/>
      <c r="AJ33" s="309"/>
      <c r="AL33" s="85"/>
      <c r="AM33" s="78"/>
      <c r="AN33" s="309"/>
      <c r="AP33" s="85"/>
      <c r="AQ33" s="78"/>
      <c r="AR33" s="309"/>
    </row>
    <row r="34" spans="1:44" x14ac:dyDescent="0.25">
      <c r="A34" s="72"/>
      <c r="B34" s="73"/>
      <c r="F34" s="85"/>
      <c r="G34" s="78"/>
      <c r="H34" s="309"/>
      <c r="J34" s="85"/>
      <c r="K34" s="78"/>
      <c r="L34" s="309"/>
      <c r="N34" s="85"/>
      <c r="O34" s="78"/>
      <c r="P34" s="309"/>
      <c r="R34" s="85"/>
      <c r="S34" s="78"/>
      <c r="T34" s="309"/>
      <c r="V34" s="85"/>
      <c r="W34" s="78"/>
      <c r="X34" s="309"/>
      <c r="Z34" s="85"/>
      <c r="AA34" s="78"/>
      <c r="AB34" s="309"/>
      <c r="AD34" s="85"/>
      <c r="AE34" s="78"/>
      <c r="AF34" s="309"/>
      <c r="AH34" s="85"/>
      <c r="AI34" s="78"/>
      <c r="AJ34" s="309"/>
      <c r="AL34" s="85"/>
      <c r="AM34" s="78"/>
      <c r="AN34" s="309"/>
      <c r="AP34" s="85"/>
      <c r="AQ34" s="78"/>
      <c r="AR34" s="309"/>
    </row>
    <row r="35" spans="1:44" x14ac:dyDescent="0.25">
      <c r="A35" s="80" t="s">
        <v>114</v>
      </c>
      <c r="B35" s="81"/>
      <c r="F35" s="82" t="s">
        <v>104</v>
      </c>
      <c r="G35" s="83">
        <f>+ROUND(G29*G31*$B$89/(LOOKUP(G30,$A$58:$A$89,$B$58:$B$89)),0)</f>
        <v>1105023036</v>
      </c>
      <c r="H35" s="86">
        <f>+ROUND(G35/$B$89,2)</f>
        <v>1497.9</v>
      </c>
      <c r="J35" s="82" t="s">
        <v>104</v>
      </c>
      <c r="K35" s="83">
        <f>+ROUND(K29*K31*$B$89/(LOOKUP(K30,$A$58:$A$89,$B$58:$B$89)),0)</f>
        <v>12373234547</v>
      </c>
      <c r="L35" s="86">
        <f>+ROUND(K35/$B$89,2)</f>
        <v>16772.330000000002</v>
      </c>
      <c r="N35" s="82" t="s">
        <v>104</v>
      </c>
      <c r="O35" s="83">
        <f>+ROUND(O29*O31*$B$89/(LOOKUP(O30,$A$58:$A$89,$B$58:$B$89)),0)</f>
        <v>0</v>
      </c>
      <c r="P35" s="86">
        <f>+ROUND(O35/$B$89,2)</f>
        <v>0</v>
      </c>
      <c r="R35" s="82" t="s">
        <v>104</v>
      </c>
      <c r="S35" s="83">
        <f>+ROUND(S29*S31*$B$89/(LOOKUP(S30,$A$58:$A$89,$B$58:$B$89)),0)</f>
        <v>1359207866</v>
      </c>
      <c r="T35" s="86">
        <f>+ROUND(S35/$B$89,2)</f>
        <v>1842.45</v>
      </c>
      <c r="V35" s="82" t="s">
        <v>104</v>
      </c>
      <c r="W35" s="83">
        <f>+ROUND(W29*W31*$B$89/(LOOKUP(W30,$A$58:$A$89,$B$58:$B$89)),0)</f>
        <v>230108213</v>
      </c>
      <c r="X35" s="86">
        <f>+ROUND(W35/$B$89,2)</f>
        <v>311.92</v>
      </c>
      <c r="Z35" s="82" t="s">
        <v>163</v>
      </c>
      <c r="AA35" s="83">
        <f>+ROUND(AA29*AA31*$B$89/(LOOKUP(AA30,$A$58:$A$89,$B$58:$B$89)),0)</f>
        <v>201793706</v>
      </c>
      <c r="AB35" s="86">
        <f>+ROUND(AA35/$B$89,2)</f>
        <v>273.54000000000002</v>
      </c>
      <c r="AD35" s="82" t="s">
        <v>104</v>
      </c>
      <c r="AE35" s="83">
        <f>+ROUND(AE29*AE31*$B$89/(LOOKUP(AE30,$A$58:$A$89,$B$58:$B$89)),0)</f>
        <v>700915342</v>
      </c>
      <c r="AF35" s="86">
        <f>+ROUND(AE35/$B$89,2)</f>
        <v>950.11</v>
      </c>
      <c r="AH35" s="82" t="s">
        <v>104</v>
      </c>
      <c r="AI35" s="83">
        <f>+ROUND(AI29*AI31*$B$89/(LOOKUP(AI30,$A$58:$A$89,$B$58:$B$89)),0)</f>
        <v>863193185</v>
      </c>
      <c r="AJ35" s="86">
        <f>+ROUND(AI35/$B$89,2)</f>
        <v>1170.0899999999999</v>
      </c>
      <c r="AL35" s="82" t="s">
        <v>104</v>
      </c>
      <c r="AM35" s="83">
        <f>+ROUND(AM29*AM31*$B$89/(LOOKUP(AM30,$A$58:$A$89,$B$58:$B$89)),0)</f>
        <v>1574526392</v>
      </c>
      <c r="AN35" s="86">
        <f>+ROUND(AM35/$B$89,2)</f>
        <v>2134.3200000000002</v>
      </c>
      <c r="AP35" s="82" t="s">
        <v>163</v>
      </c>
      <c r="AQ35" s="83">
        <f>+ROUND(AQ29*AQ31*$B$89/(LOOKUP(AQ30,$A$58:$A$89,$B$58:$B$89)),0)</f>
        <v>280192297</v>
      </c>
      <c r="AR35" s="86">
        <f>+ROUND(AQ35/$B$89,2)</f>
        <v>379.81</v>
      </c>
    </row>
    <row r="37" spans="1:44" x14ac:dyDescent="0.25">
      <c r="A37" s="70" t="s">
        <v>184</v>
      </c>
      <c r="B37" s="71"/>
      <c r="F37" s="87"/>
      <c r="G37" s="88" t="s">
        <v>112</v>
      </c>
      <c r="H37" s="89"/>
      <c r="J37" s="87"/>
      <c r="K37" s="88" t="s">
        <v>184</v>
      </c>
      <c r="L37" s="89"/>
      <c r="N37" s="87"/>
      <c r="O37" s="88" t="s">
        <v>184</v>
      </c>
      <c r="P37" s="89"/>
      <c r="R37" s="87"/>
      <c r="S37" s="88" t="s">
        <v>184</v>
      </c>
      <c r="T37" s="89"/>
      <c r="V37" s="87"/>
      <c r="W37" s="88" t="s">
        <v>184</v>
      </c>
      <c r="X37" s="89"/>
      <c r="Z37" s="87"/>
      <c r="AA37" s="88" t="s">
        <v>112</v>
      </c>
      <c r="AB37" s="89"/>
      <c r="AD37" s="87"/>
      <c r="AE37" s="88" t="s">
        <v>184</v>
      </c>
      <c r="AF37" s="89"/>
      <c r="AH37" s="87"/>
      <c r="AI37" s="88" t="s">
        <v>184</v>
      </c>
      <c r="AJ37" s="89"/>
      <c r="AL37" s="87"/>
      <c r="AM37" s="88" t="s">
        <v>184</v>
      </c>
      <c r="AN37" s="89"/>
      <c r="AP37" s="87"/>
      <c r="AQ37" s="88" t="s">
        <v>184</v>
      </c>
      <c r="AR37" s="89"/>
    </row>
    <row r="38" spans="1:44" x14ac:dyDescent="0.25">
      <c r="A38" s="72"/>
      <c r="B38" s="73"/>
      <c r="F38" s="85"/>
      <c r="G38" s="84"/>
      <c r="H38" s="79"/>
      <c r="J38" s="85"/>
      <c r="K38" s="84"/>
      <c r="L38" s="79"/>
      <c r="N38" s="85"/>
      <c r="O38" s="84"/>
      <c r="P38" s="79"/>
      <c r="R38" s="85"/>
      <c r="S38" s="84"/>
      <c r="T38" s="79"/>
      <c r="V38" s="85"/>
      <c r="W38" s="84"/>
      <c r="X38" s="79"/>
      <c r="Z38" s="85"/>
      <c r="AA38" s="84"/>
      <c r="AB38" s="79"/>
      <c r="AD38" s="85"/>
      <c r="AE38" s="84"/>
      <c r="AF38" s="79"/>
      <c r="AH38" s="85"/>
      <c r="AI38" s="84"/>
      <c r="AJ38" s="79"/>
      <c r="AL38" s="85"/>
      <c r="AM38" s="84"/>
      <c r="AN38" s="79"/>
      <c r="AP38" s="85"/>
      <c r="AQ38" s="84"/>
      <c r="AR38" s="79"/>
    </row>
    <row r="39" spans="1:44" x14ac:dyDescent="0.25">
      <c r="A39" s="72" t="s">
        <v>108</v>
      </c>
      <c r="B39" s="73"/>
      <c r="F39" s="74" t="s">
        <v>109</v>
      </c>
      <c r="G39" s="75">
        <v>1930338038.6300001</v>
      </c>
      <c r="H39" s="76" t="s">
        <v>97</v>
      </c>
      <c r="J39" s="74" t="s">
        <v>109</v>
      </c>
      <c r="K39" s="75">
        <v>191808517</v>
      </c>
      <c r="L39" s="76" t="s">
        <v>97</v>
      </c>
      <c r="N39" s="74" t="s">
        <v>109</v>
      </c>
      <c r="O39" s="75">
        <v>0</v>
      </c>
      <c r="P39" s="76"/>
      <c r="R39" s="74" t="s">
        <v>109</v>
      </c>
      <c r="S39" s="75">
        <v>442560140</v>
      </c>
      <c r="T39" s="76" t="s">
        <v>97</v>
      </c>
      <c r="V39" s="74" t="s">
        <v>109</v>
      </c>
      <c r="W39" s="75">
        <v>2489228968</v>
      </c>
      <c r="X39" s="76" t="s">
        <v>97</v>
      </c>
      <c r="Z39" s="74" t="s">
        <v>109</v>
      </c>
      <c r="AA39" s="75">
        <v>49855456</v>
      </c>
      <c r="AB39" s="76" t="s">
        <v>97</v>
      </c>
      <c r="AD39" s="74" t="s">
        <v>109</v>
      </c>
      <c r="AE39" s="75">
        <v>723747729</v>
      </c>
      <c r="AF39" s="76" t="s">
        <v>97</v>
      </c>
      <c r="AH39" s="74" t="s">
        <v>109</v>
      </c>
      <c r="AI39" s="75">
        <v>630000000</v>
      </c>
      <c r="AJ39" s="76" t="s">
        <v>97</v>
      </c>
      <c r="AL39" s="74" t="s">
        <v>109</v>
      </c>
      <c r="AM39" s="75">
        <v>0</v>
      </c>
      <c r="AN39" s="76"/>
      <c r="AP39" s="74" t="s">
        <v>109</v>
      </c>
      <c r="AQ39" s="75">
        <v>166182740</v>
      </c>
      <c r="AR39" s="76" t="s">
        <v>97</v>
      </c>
    </row>
    <row r="40" spans="1:44" ht="15" customHeight="1" x14ac:dyDescent="0.25">
      <c r="A40" s="72" t="s">
        <v>110</v>
      </c>
      <c r="B40" s="73"/>
      <c r="F40" s="85"/>
      <c r="G40" s="84">
        <v>2015</v>
      </c>
      <c r="H40" s="309" t="s">
        <v>187</v>
      </c>
      <c r="J40" s="85"/>
      <c r="K40" s="84">
        <v>2003</v>
      </c>
      <c r="L40" s="309" t="s">
        <v>187</v>
      </c>
      <c r="N40" s="85"/>
      <c r="O40" s="84">
        <v>2000</v>
      </c>
      <c r="P40" s="309"/>
      <c r="R40" s="85"/>
      <c r="S40" s="84">
        <v>2015</v>
      </c>
      <c r="T40" s="309" t="s">
        <v>187</v>
      </c>
      <c r="V40" s="85"/>
      <c r="W40" s="84">
        <v>2015</v>
      </c>
      <c r="X40" s="309" t="s">
        <v>187</v>
      </c>
      <c r="Z40" s="85"/>
      <c r="AA40" s="84">
        <v>2004</v>
      </c>
      <c r="AB40" s="309" t="s">
        <v>187</v>
      </c>
      <c r="AD40" s="85"/>
      <c r="AE40" s="84">
        <v>2012</v>
      </c>
      <c r="AF40" s="309">
        <v>721214</v>
      </c>
      <c r="AH40" s="85"/>
      <c r="AI40" s="84">
        <v>2012</v>
      </c>
      <c r="AJ40" s="309" t="s">
        <v>187</v>
      </c>
      <c r="AL40" s="85"/>
      <c r="AM40" s="84">
        <v>2000</v>
      </c>
      <c r="AN40" s="309"/>
      <c r="AP40" s="85"/>
      <c r="AQ40" s="84">
        <v>2011</v>
      </c>
      <c r="AR40" s="309" t="s">
        <v>187</v>
      </c>
    </row>
    <row r="41" spans="1:44" x14ac:dyDescent="0.25">
      <c r="A41" s="77" t="s">
        <v>111</v>
      </c>
      <c r="B41" s="73"/>
      <c r="F41" s="155">
        <v>0.5</v>
      </c>
      <c r="G41" s="78">
        <v>0.5</v>
      </c>
      <c r="H41" s="309"/>
      <c r="J41" s="155">
        <v>1</v>
      </c>
      <c r="K41" s="78">
        <v>1</v>
      </c>
      <c r="L41" s="309"/>
      <c r="N41" s="155">
        <v>0</v>
      </c>
      <c r="O41" s="78">
        <v>0</v>
      </c>
      <c r="P41" s="309"/>
      <c r="R41" s="155">
        <v>1</v>
      </c>
      <c r="S41" s="78">
        <v>1</v>
      </c>
      <c r="T41" s="309"/>
      <c r="V41" s="155">
        <v>1</v>
      </c>
      <c r="W41" s="78">
        <v>1</v>
      </c>
      <c r="X41" s="309"/>
      <c r="Z41" s="155">
        <v>1</v>
      </c>
      <c r="AA41" s="78">
        <v>1</v>
      </c>
      <c r="AB41" s="309"/>
      <c r="AD41" s="155">
        <v>0.3</v>
      </c>
      <c r="AE41" s="78">
        <v>0.3</v>
      </c>
      <c r="AF41" s="309"/>
      <c r="AH41" s="155">
        <v>1</v>
      </c>
      <c r="AI41" s="78">
        <v>1</v>
      </c>
      <c r="AJ41" s="309"/>
      <c r="AL41" s="155">
        <v>0</v>
      </c>
      <c r="AM41" s="78">
        <v>0</v>
      </c>
      <c r="AN41" s="309"/>
      <c r="AP41" s="155">
        <v>0.7</v>
      </c>
      <c r="AQ41" s="78">
        <v>0.7</v>
      </c>
      <c r="AR41" s="309"/>
    </row>
    <row r="42" spans="1:44" x14ac:dyDescent="0.25">
      <c r="A42" s="77"/>
      <c r="B42" s="73"/>
      <c r="F42" s="85"/>
      <c r="G42" s="78"/>
      <c r="H42" s="309"/>
      <c r="J42" s="85"/>
      <c r="K42" s="78"/>
      <c r="L42" s="309"/>
      <c r="N42" s="85"/>
      <c r="O42" s="78"/>
      <c r="P42" s="309"/>
      <c r="R42" s="85"/>
      <c r="S42" s="78"/>
      <c r="T42" s="309"/>
      <c r="V42" s="85"/>
      <c r="W42" s="78"/>
      <c r="X42" s="309"/>
      <c r="Z42" s="85"/>
      <c r="AA42" s="78"/>
      <c r="AB42" s="309"/>
      <c r="AD42" s="85"/>
      <c r="AE42" s="78"/>
      <c r="AF42" s="309"/>
      <c r="AH42" s="85"/>
      <c r="AI42" s="78"/>
      <c r="AJ42" s="309"/>
      <c r="AL42" s="85"/>
      <c r="AM42" s="78"/>
      <c r="AN42" s="309"/>
      <c r="AP42" s="85"/>
      <c r="AQ42" s="78"/>
      <c r="AR42" s="309"/>
    </row>
    <row r="43" spans="1:44" x14ac:dyDescent="0.25">
      <c r="A43" s="77"/>
      <c r="B43" s="73"/>
      <c r="F43" s="85"/>
      <c r="G43" s="78"/>
      <c r="H43" s="309"/>
      <c r="J43" s="85"/>
      <c r="K43" s="78"/>
      <c r="L43" s="309"/>
      <c r="N43" s="85"/>
      <c r="O43" s="78"/>
      <c r="P43" s="309"/>
      <c r="R43" s="85"/>
      <c r="S43" s="78"/>
      <c r="T43" s="309"/>
      <c r="V43" s="85"/>
      <c r="W43" s="78"/>
      <c r="X43" s="309"/>
      <c r="Z43" s="85"/>
      <c r="AA43" s="78"/>
      <c r="AB43" s="309"/>
      <c r="AD43" s="85"/>
      <c r="AE43" s="78"/>
      <c r="AF43" s="309"/>
      <c r="AH43" s="85"/>
      <c r="AI43" s="78"/>
      <c r="AJ43" s="309"/>
      <c r="AL43" s="85"/>
      <c r="AM43" s="78"/>
      <c r="AN43" s="309"/>
      <c r="AP43" s="85"/>
      <c r="AQ43" s="78"/>
      <c r="AR43" s="309"/>
    </row>
    <row r="44" spans="1:44" x14ac:dyDescent="0.25">
      <c r="A44" s="72"/>
      <c r="B44" s="73"/>
      <c r="F44" s="85"/>
      <c r="G44" s="78"/>
      <c r="H44" s="309"/>
      <c r="J44" s="85"/>
      <c r="K44" s="78"/>
      <c r="L44" s="309"/>
      <c r="N44" s="85"/>
      <c r="O44" s="78"/>
      <c r="P44" s="309"/>
      <c r="R44" s="85"/>
      <c r="S44" s="78"/>
      <c r="T44" s="309"/>
      <c r="V44" s="85"/>
      <c r="W44" s="78"/>
      <c r="X44" s="309"/>
      <c r="Z44" s="85"/>
      <c r="AA44" s="78"/>
      <c r="AB44" s="309"/>
      <c r="AD44" s="85"/>
      <c r="AE44" s="78"/>
      <c r="AF44" s="309"/>
      <c r="AH44" s="85"/>
      <c r="AI44" s="78"/>
      <c r="AJ44" s="309"/>
      <c r="AL44" s="85"/>
      <c r="AM44" s="78"/>
      <c r="AN44" s="309"/>
      <c r="AP44" s="85"/>
      <c r="AQ44" s="78"/>
      <c r="AR44" s="309"/>
    </row>
    <row r="45" spans="1:44" x14ac:dyDescent="0.25">
      <c r="A45" s="80" t="s">
        <v>114</v>
      </c>
      <c r="B45" s="81"/>
      <c r="F45" s="82" t="s">
        <v>163</v>
      </c>
      <c r="G45" s="83">
        <f>+ROUND(G39*G41*$B$89/(LOOKUP(G40,$A$58:$A$89,$B$58:$B$89)),0)</f>
        <v>1105023036</v>
      </c>
      <c r="H45" s="86">
        <f>+ROUND(G45/$B$89,2)</f>
        <v>1497.9</v>
      </c>
      <c r="J45" s="82" t="s">
        <v>104</v>
      </c>
      <c r="K45" s="83">
        <f>+ROUND(K39*K41*$B$89/(LOOKUP(K40,$A$58:$A$89,$B$58:$B$89)),0)</f>
        <v>426206035</v>
      </c>
      <c r="L45" s="86">
        <f>+ROUND(K45/$B$89,2)</f>
        <v>577.74</v>
      </c>
      <c r="N45" s="82" t="s">
        <v>104</v>
      </c>
      <c r="O45" s="83">
        <f>+ROUND(O39*O41*$B$89/(LOOKUP(O40,$A$58:$A$89,$B$58:$B$89)),0)</f>
        <v>0</v>
      </c>
      <c r="P45" s="86">
        <f>+ROUND(O45/$B$89,2)</f>
        <v>0</v>
      </c>
      <c r="R45" s="82" t="s">
        <v>104</v>
      </c>
      <c r="S45" s="83">
        <f>+ROUND(S39*S41*$B$89/(LOOKUP(S40,$A$58:$A$89,$B$58:$B$89)),0)</f>
        <v>506687575</v>
      </c>
      <c r="T45" s="86">
        <f>+ROUND(S45/$B$89,2)</f>
        <v>686.83</v>
      </c>
      <c r="V45" s="82" t="s">
        <v>104</v>
      </c>
      <c r="W45" s="83">
        <f>+ROUND(W39*W41*$B$89/(LOOKUP(W40,$A$58:$A$89,$B$58:$B$89)),0)</f>
        <v>2849920892</v>
      </c>
      <c r="X45" s="86">
        <f>+ROUND(W45/$B$89,2)</f>
        <v>3863.16</v>
      </c>
      <c r="Z45" s="82" t="s">
        <v>163</v>
      </c>
      <c r="AA45" s="83">
        <f>+ROUND(AA39*AA41*$B$89/(LOOKUP(AA40,$A$58:$A$89,$B$58:$B$89)),0)</f>
        <v>102735244</v>
      </c>
      <c r="AB45" s="86">
        <f>+ROUND(AA45/$B$89,2)</f>
        <v>139.26</v>
      </c>
      <c r="AD45" s="82" t="s">
        <v>163</v>
      </c>
      <c r="AE45" s="83">
        <f>+ROUND(AE39*AE41*$B$89/(LOOKUP(AE40,$A$58:$A$89,$B$58:$B$89)),0)</f>
        <v>282647434</v>
      </c>
      <c r="AF45" s="86">
        <f>+ROUND(AE45/$B$89,2)</f>
        <v>383.14</v>
      </c>
      <c r="AH45" s="82" t="s">
        <v>104</v>
      </c>
      <c r="AI45" s="83">
        <f>+ROUND(AI39*AI41*$B$89/(LOOKUP(AI40,$A$58:$A$89,$B$58:$B$89)),0)</f>
        <v>820119481</v>
      </c>
      <c r="AJ45" s="86">
        <f>+ROUND(AI45/$B$89,2)</f>
        <v>1111.7</v>
      </c>
      <c r="AL45" s="82" t="s">
        <v>104</v>
      </c>
      <c r="AM45" s="83">
        <f>+ROUND(AM39*AM41*$B$89/(LOOKUP(AM40,$A$58:$A$89,$B$58:$B$89)),0)</f>
        <v>0</v>
      </c>
      <c r="AN45" s="86">
        <f>+ROUND(AM45/$B$89,2)</f>
        <v>0</v>
      </c>
      <c r="AP45" s="82" t="s">
        <v>163</v>
      </c>
      <c r="AQ45" s="83">
        <f>+ROUND(AQ39*AQ41*$B$89/(LOOKUP(AQ40,$A$58:$A$89,$B$58:$B$89)),0)</f>
        <v>160226069</v>
      </c>
      <c r="AR45" s="86">
        <f>+ROUND(AQ45/$B$89,2)</f>
        <v>217.19</v>
      </c>
    </row>
    <row r="47" spans="1:44" x14ac:dyDescent="0.25">
      <c r="F47" s="87"/>
      <c r="G47" s="88" t="s">
        <v>184</v>
      </c>
      <c r="H47" s="89"/>
      <c r="Z47" s="87"/>
      <c r="AA47" s="88" t="s">
        <v>184</v>
      </c>
      <c r="AB47" s="89"/>
      <c r="AD47"/>
      <c r="AE47"/>
      <c r="AF47"/>
      <c r="AP47"/>
      <c r="AQ47"/>
      <c r="AR47"/>
    </row>
    <row r="48" spans="1:44" x14ac:dyDescent="0.25">
      <c r="F48" s="85"/>
      <c r="G48" s="84"/>
      <c r="H48" s="79"/>
      <c r="Z48" s="85"/>
      <c r="AA48" s="84"/>
      <c r="AB48" s="79"/>
      <c r="AD48"/>
      <c r="AE48"/>
      <c r="AF48"/>
      <c r="AP48"/>
      <c r="AQ48"/>
      <c r="AR48"/>
    </row>
    <row r="49" spans="1:44" x14ac:dyDescent="0.25">
      <c r="F49" s="74" t="s">
        <v>109</v>
      </c>
      <c r="G49" s="75">
        <v>980208513</v>
      </c>
      <c r="H49" s="76" t="s">
        <v>97</v>
      </c>
      <c r="Z49" s="74" t="s">
        <v>109</v>
      </c>
      <c r="AA49" s="75">
        <v>197869342</v>
      </c>
      <c r="AB49" s="76" t="s">
        <v>97</v>
      </c>
      <c r="AD49"/>
      <c r="AE49"/>
      <c r="AF49"/>
      <c r="AP49"/>
      <c r="AQ49"/>
      <c r="AR49"/>
    </row>
    <row r="50" spans="1:44" ht="15" customHeight="1" x14ac:dyDescent="0.25">
      <c r="F50" s="85"/>
      <c r="G50" s="84">
        <v>2007</v>
      </c>
      <c r="H50" s="309" t="s">
        <v>187</v>
      </c>
      <c r="Z50" s="85"/>
      <c r="AA50" s="84">
        <v>2004</v>
      </c>
      <c r="AB50" s="309" t="s">
        <v>187</v>
      </c>
      <c r="AD50"/>
      <c r="AE50"/>
      <c r="AF50"/>
      <c r="AP50"/>
      <c r="AQ50"/>
      <c r="AR50"/>
    </row>
    <row r="51" spans="1:44" x14ac:dyDescent="0.25">
      <c r="F51" s="155">
        <v>0.85</v>
      </c>
      <c r="G51" s="78">
        <v>0.85</v>
      </c>
      <c r="H51" s="309"/>
      <c r="Z51" s="155">
        <v>1</v>
      </c>
      <c r="AA51" s="78">
        <v>1</v>
      </c>
      <c r="AB51" s="309"/>
      <c r="AD51"/>
      <c r="AE51"/>
      <c r="AF51"/>
      <c r="AP51"/>
      <c r="AQ51"/>
      <c r="AR51"/>
    </row>
    <row r="52" spans="1:44" x14ac:dyDescent="0.25">
      <c r="F52" s="85"/>
      <c r="G52" s="78"/>
      <c r="H52" s="309"/>
      <c r="Z52" s="85"/>
      <c r="AA52" s="78"/>
      <c r="AB52" s="309"/>
      <c r="AD52"/>
      <c r="AE52"/>
      <c r="AF52"/>
      <c r="AP52"/>
      <c r="AQ52"/>
      <c r="AR52"/>
    </row>
    <row r="53" spans="1:44" x14ac:dyDescent="0.25">
      <c r="F53" s="85"/>
      <c r="G53" s="78"/>
      <c r="H53" s="309"/>
      <c r="Z53" s="85"/>
      <c r="AA53" s="78"/>
      <c r="AB53" s="309"/>
      <c r="AD53"/>
      <c r="AE53"/>
      <c r="AF53"/>
      <c r="AP53"/>
      <c r="AQ53"/>
      <c r="AR53"/>
    </row>
    <row r="54" spans="1:44" x14ac:dyDescent="0.25">
      <c r="F54" s="85"/>
      <c r="G54" s="78"/>
      <c r="H54" s="309"/>
      <c r="Z54" s="85"/>
      <c r="AA54" s="78"/>
      <c r="AB54" s="309"/>
      <c r="AD54"/>
      <c r="AE54"/>
      <c r="AF54"/>
      <c r="AP54"/>
      <c r="AQ54"/>
      <c r="AR54"/>
    </row>
    <row r="55" spans="1:44" x14ac:dyDescent="0.25">
      <c r="F55" s="82" t="s">
        <v>104</v>
      </c>
      <c r="G55" s="83">
        <f>+ROUND(G49*G51*$B$89/(LOOKUP(G50,$A$58:$A$89,$B$58:$B$89)),0)</f>
        <v>1417221607</v>
      </c>
      <c r="H55" s="86">
        <f>+ROUND(G55/$B$89,2)</f>
        <v>1921.09</v>
      </c>
      <c r="Z55" s="82" t="s">
        <v>104</v>
      </c>
      <c r="AA55" s="83">
        <f>+ROUND(AA49*AA51*$B$89/(LOOKUP(AA50,$A$58:$A$89,$B$58:$B$89)),0)</f>
        <v>407741836</v>
      </c>
      <c r="AB55" s="86">
        <f>+ROUND(AA55/$B$89,2)</f>
        <v>552.71</v>
      </c>
      <c r="AD55"/>
      <c r="AE55"/>
      <c r="AF55"/>
      <c r="AP55"/>
      <c r="AQ55"/>
      <c r="AR55"/>
    </row>
    <row r="58" spans="1:44" ht="15.75" x14ac:dyDescent="0.25">
      <c r="A58" s="90">
        <v>1986</v>
      </c>
      <c r="B58" s="91">
        <v>16811</v>
      </c>
    </row>
    <row r="59" spans="1:44" ht="15.75" x14ac:dyDescent="0.25">
      <c r="A59" s="90">
        <v>1987</v>
      </c>
      <c r="B59" s="91">
        <v>20510</v>
      </c>
    </row>
    <row r="60" spans="1:44" ht="15.75" x14ac:dyDescent="0.25">
      <c r="A60" s="90">
        <v>1988</v>
      </c>
      <c r="B60" s="91">
        <v>25637</v>
      </c>
    </row>
    <row r="61" spans="1:44" ht="15.75" x14ac:dyDescent="0.25">
      <c r="A61" s="90">
        <v>1989</v>
      </c>
      <c r="B61" s="91">
        <v>32560</v>
      </c>
    </row>
    <row r="62" spans="1:44" ht="15.75" x14ac:dyDescent="0.25">
      <c r="A62" s="90">
        <v>1990</v>
      </c>
      <c r="B62" s="91">
        <v>41025</v>
      </c>
    </row>
    <row r="63" spans="1:44" ht="15.75" x14ac:dyDescent="0.25">
      <c r="A63" s="90">
        <v>1991</v>
      </c>
      <c r="B63" s="91">
        <v>51716</v>
      </c>
    </row>
    <row r="64" spans="1:44" ht="15.75" x14ac:dyDescent="0.25">
      <c r="A64" s="90">
        <v>1992</v>
      </c>
      <c r="B64" s="91">
        <v>65190</v>
      </c>
    </row>
    <row r="65" spans="1:2" ht="15.75" x14ac:dyDescent="0.25">
      <c r="A65" s="90">
        <v>1993</v>
      </c>
      <c r="B65" s="91">
        <v>81510</v>
      </c>
    </row>
    <row r="66" spans="1:2" ht="15.75" x14ac:dyDescent="0.25">
      <c r="A66" s="90">
        <v>1994</v>
      </c>
      <c r="B66" s="91">
        <v>98700</v>
      </c>
    </row>
    <row r="67" spans="1:2" ht="15.75" x14ac:dyDescent="0.25">
      <c r="A67" s="90">
        <v>1995</v>
      </c>
      <c r="B67" s="91">
        <v>118934</v>
      </c>
    </row>
    <row r="68" spans="1:2" ht="15.75" x14ac:dyDescent="0.25">
      <c r="A68" s="90">
        <v>1996</v>
      </c>
      <c r="B68" s="91">
        <v>142125</v>
      </c>
    </row>
    <row r="69" spans="1:2" ht="15.75" x14ac:dyDescent="0.25">
      <c r="A69" s="90">
        <v>1997</v>
      </c>
      <c r="B69" s="92">
        <v>172005</v>
      </c>
    </row>
    <row r="70" spans="1:2" ht="15.75" x14ac:dyDescent="0.25">
      <c r="A70" s="90">
        <v>1998</v>
      </c>
      <c r="B70" s="92">
        <v>203826</v>
      </c>
    </row>
    <row r="71" spans="1:2" ht="15.75" x14ac:dyDescent="0.25">
      <c r="A71" s="90">
        <v>1999</v>
      </c>
      <c r="B71" s="91">
        <v>236460</v>
      </c>
    </row>
    <row r="72" spans="1:2" ht="15.75" x14ac:dyDescent="0.25">
      <c r="A72" s="90">
        <v>2000</v>
      </c>
      <c r="B72" s="93">
        <v>260100</v>
      </c>
    </row>
    <row r="73" spans="1:2" ht="15.75" x14ac:dyDescent="0.25">
      <c r="A73" s="90">
        <v>2001</v>
      </c>
      <c r="B73" s="93">
        <v>286000</v>
      </c>
    </row>
    <row r="74" spans="1:2" ht="15.75" x14ac:dyDescent="0.25">
      <c r="A74" s="90">
        <v>2002</v>
      </c>
      <c r="B74" s="93">
        <v>309000</v>
      </c>
    </row>
    <row r="75" spans="1:2" ht="15.75" x14ac:dyDescent="0.25">
      <c r="A75" s="90">
        <v>2003</v>
      </c>
      <c r="B75" s="93">
        <v>332000</v>
      </c>
    </row>
    <row r="76" spans="1:2" ht="15.75" x14ac:dyDescent="0.25">
      <c r="A76" s="90">
        <v>2004</v>
      </c>
      <c r="B76" s="93">
        <v>358000</v>
      </c>
    </row>
    <row r="77" spans="1:2" ht="15.75" x14ac:dyDescent="0.25">
      <c r="A77" s="90">
        <v>2005</v>
      </c>
      <c r="B77" s="93">
        <v>381500</v>
      </c>
    </row>
    <row r="78" spans="1:2" ht="15.75" x14ac:dyDescent="0.25">
      <c r="A78" s="90">
        <v>2006</v>
      </c>
      <c r="B78" s="93">
        <v>408000</v>
      </c>
    </row>
    <row r="79" spans="1:2" ht="15.75" x14ac:dyDescent="0.25">
      <c r="A79" s="90">
        <v>2007</v>
      </c>
      <c r="B79" s="93">
        <v>433700</v>
      </c>
    </row>
    <row r="80" spans="1:2" ht="15.75" x14ac:dyDescent="0.25">
      <c r="A80" s="90">
        <v>2008</v>
      </c>
      <c r="B80" s="93">
        <v>461500</v>
      </c>
    </row>
    <row r="81" spans="1:2" ht="15.75" x14ac:dyDescent="0.25">
      <c r="A81" s="90">
        <v>2009</v>
      </c>
      <c r="B81" s="93">
        <v>496900</v>
      </c>
    </row>
    <row r="82" spans="1:2" ht="15.75" x14ac:dyDescent="0.25">
      <c r="A82" s="90">
        <v>2010</v>
      </c>
      <c r="B82" s="93">
        <v>515000</v>
      </c>
    </row>
    <row r="83" spans="1:2" ht="15.75" x14ac:dyDescent="0.25">
      <c r="A83" s="90">
        <v>2011</v>
      </c>
      <c r="B83" s="93">
        <v>535600</v>
      </c>
    </row>
    <row r="84" spans="1:2" ht="15.75" x14ac:dyDescent="0.25">
      <c r="A84" s="90">
        <v>2012</v>
      </c>
      <c r="B84" s="93">
        <v>566700</v>
      </c>
    </row>
    <row r="85" spans="1:2" ht="15.75" x14ac:dyDescent="0.25">
      <c r="A85" s="90">
        <v>2013</v>
      </c>
      <c r="B85" s="93">
        <v>589500</v>
      </c>
    </row>
    <row r="86" spans="1:2" ht="15.75" x14ac:dyDescent="0.25">
      <c r="A86" s="90">
        <v>2014</v>
      </c>
      <c r="B86" s="93">
        <v>616000</v>
      </c>
    </row>
    <row r="87" spans="1:2" ht="15.75" x14ac:dyDescent="0.25">
      <c r="A87" s="90">
        <v>2015</v>
      </c>
      <c r="B87" s="93">
        <v>644350</v>
      </c>
    </row>
    <row r="88" spans="1:2" ht="15.75" x14ac:dyDescent="0.25">
      <c r="A88" s="90">
        <v>2016</v>
      </c>
      <c r="B88" s="93">
        <v>689454</v>
      </c>
    </row>
    <row r="89" spans="1:2" ht="15.75" x14ac:dyDescent="0.25">
      <c r="A89" s="90">
        <v>2017</v>
      </c>
      <c r="B89" s="94">
        <v>737717</v>
      </c>
    </row>
  </sheetData>
  <mergeCells count="41">
    <mergeCell ref="AR20:AR24"/>
    <mergeCell ref="AR30:AR34"/>
    <mergeCell ref="AR40:AR44"/>
    <mergeCell ref="AB20:AB24"/>
    <mergeCell ref="X20:X24"/>
    <mergeCell ref="AN20:AN24"/>
    <mergeCell ref="AN30:AN34"/>
    <mergeCell ref="AN40:AN44"/>
    <mergeCell ref="AF20:AF24"/>
    <mergeCell ref="AF30:AF34"/>
    <mergeCell ref="AF40:AF44"/>
    <mergeCell ref="AJ20:AJ24"/>
    <mergeCell ref="AJ30:AJ34"/>
    <mergeCell ref="AJ40:AJ44"/>
    <mergeCell ref="A2:B3"/>
    <mergeCell ref="A6:B6"/>
    <mergeCell ref="A15:B15"/>
    <mergeCell ref="L20:L24"/>
    <mergeCell ref="H20:H24"/>
    <mergeCell ref="A8:B9"/>
    <mergeCell ref="D8:D9"/>
    <mergeCell ref="A10:B11"/>
    <mergeCell ref="D10:D11"/>
    <mergeCell ref="A12:B13"/>
    <mergeCell ref="D12:D13"/>
    <mergeCell ref="AB50:AB54"/>
    <mergeCell ref="H50:H54"/>
    <mergeCell ref="P20:P24"/>
    <mergeCell ref="P40:P44"/>
    <mergeCell ref="T30:T34"/>
    <mergeCell ref="T40:T44"/>
    <mergeCell ref="H40:H44"/>
    <mergeCell ref="L40:L44"/>
    <mergeCell ref="P30:P34"/>
    <mergeCell ref="T20:T24"/>
    <mergeCell ref="H30:H34"/>
    <mergeCell ref="L30:L34"/>
    <mergeCell ref="X40:X44"/>
    <mergeCell ref="AB30:AB34"/>
    <mergeCell ref="AB40:AB44"/>
    <mergeCell ref="X30:X34"/>
  </mergeCells>
  <conditionalFormatting sqref="H6:H7 H10:H13">
    <cfRule type="cellIs" dxfId="145" priority="248" operator="equal">
      <formula>"NO CUMPLE"</formula>
    </cfRule>
  </conditionalFormatting>
  <conditionalFormatting sqref="L6:L7">
    <cfRule type="cellIs" dxfId="144" priority="243" operator="equal">
      <formula>"NO CUMPLE"</formula>
    </cfRule>
  </conditionalFormatting>
  <conditionalFormatting sqref="H8:H9">
    <cfRule type="cellIs" dxfId="143" priority="231" operator="equal">
      <formula>"NO CUMPLE"</formula>
    </cfRule>
  </conditionalFormatting>
  <conditionalFormatting sqref="L10:L13">
    <cfRule type="cellIs" dxfId="142" priority="230" operator="equal">
      <formula>"NO CUMPLE"</formula>
    </cfRule>
  </conditionalFormatting>
  <conditionalFormatting sqref="L8:L9">
    <cfRule type="cellIs" dxfId="141" priority="229" operator="equal">
      <formula>"NO CUMPLE"</formula>
    </cfRule>
  </conditionalFormatting>
  <conditionalFormatting sqref="G15">
    <cfRule type="cellIs" dxfId="140" priority="219" operator="equal">
      <formula>"NO CUMPLE"</formula>
    </cfRule>
    <cfRule type="cellIs" dxfId="139" priority="220" operator="equal">
      <formula>"CUMPLE"</formula>
    </cfRule>
  </conditionalFormatting>
  <conditionalFormatting sqref="K15">
    <cfRule type="cellIs" dxfId="138" priority="208" operator="equal">
      <formula>"NO CUMPLE"</formula>
    </cfRule>
    <cfRule type="cellIs" dxfId="137" priority="209" operator="equal">
      <formula>"CUMPLE"</formula>
    </cfRule>
  </conditionalFormatting>
  <conditionalFormatting sqref="P6:P7">
    <cfRule type="cellIs" dxfId="136" priority="39" operator="equal">
      <formula>"NO CUMPLE"</formula>
    </cfRule>
  </conditionalFormatting>
  <conditionalFormatting sqref="P10:P13">
    <cfRule type="cellIs" dxfId="135" priority="38" operator="equal">
      <formula>"NO CUMPLE"</formula>
    </cfRule>
  </conditionalFormatting>
  <conditionalFormatting sqref="P8:P9">
    <cfRule type="cellIs" dxfId="134" priority="37" operator="equal">
      <formula>"NO CUMPLE"</formula>
    </cfRule>
  </conditionalFormatting>
  <conditionalFormatting sqref="O15">
    <cfRule type="cellIs" dxfId="133" priority="35" operator="equal">
      <formula>"NO CUMPLE"</formula>
    </cfRule>
    <cfRule type="cellIs" dxfId="132" priority="36" operator="equal">
      <formula>"CUMPLE"</formula>
    </cfRule>
  </conditionalFormatting>
  <conditionalFormatting sqref="T6:T7">
    <cfRule type="cellIs" dxfId="131" priority="34" operator="equal">
      <formula>"NO CUMPLE"</formula>
    </cfRule>
  </conditionalFormatting>
  <conditionalFormatting sqref="T10:T13">
    <cfRule type="cellIs" dxfId="130" priority="33" operator="equal">
      <formula>"NO CUMPLE"</formula>
    </cfRule>
  </conditionalFormatting>
  <conditionalFormatting sqref="T8:T9">
    <cfRule type="cellIs" dxfId="129" priority="32" operator="equal">
      <formula>"NO CUMPLE"</formula>
    </cfRule>
  </conditionalFormatting>
  <conditionalFormatting sqref="S15">
    <cfRule type="cellIs" dxfId="128" priority="30" operator="equal">
      <formula>"NO CUMPLE"</formula>
    </cfRule>
    <cfRule type="cellIs" dxfId="127" priority="31" operator="equal">
      <formula>"CUMPLE"</formula>
    </cfRule>
  </conditionalFormatting>
  <conditionalFormatting sqref="X6:X7">
    <cfRule type="cellIs" dxfId="126" priority="29" operator="equal">
      <formula>"NO CUMPLE"</formula>
    </cfRule>
  </conditionalFormatting>
  <conditionalFormatting sqref="X10:X13">
    <cfRule type="cellIs" dxfId="125" priority="28" operator="equal">
      <formula>"NO CUMPLE"</formula>
    </cfRule>
  </conditionalFormatting>
  <conditionalFormatting sqref="X8:X9">
    <cfRule type="cellIs" dxfId="124" priority="27" operator="equal">
      <formula>"NO CUMPLE"</formula>
    </cfRule>
  </conditionalFormatting>
  <conditionalFormatting sqref="W15">
    <cfRule type="cellIs" dxfId="123" priority="25" operator="equal">
      <formula>"NO CUMPLE"</formula>
    </cfRule>
    <cfRule type="cellIs" dxfId="122" priority="26" operator="equal">
      <formula>"CUMPLE"</formula>
    </cfRule>
  </conditionalFormatting>
  <conditionalFormatting sqref="AB6:AB7 AB10:AB13">
    <cfRule type="cellIs" dxfId="121" priority="24" operator="equal">
      <formula>"NO CUMPLE"</formula>
    </cfRule>
  </conditionalFormatting>
  <conditionalFormatting sqref="AB8:AB9">
    <cfRule type="cellIs" dxfId="120" priority="23" operator="equal">
      <formula>"NO CUMPLE"</formula>
    </cfRule>
  </conditionalFormatting>
  <conditionalFormatting sqref="AA15">
    <cfRule type="cellIs" dxfId="119" priority="21" operator="equal">
      <formula>"NO CUMPLE"</formula>
    </cfRule>
    <cfRule type="cellIs" dxfId="118" priority="22" operator="equal">
      <formula>"CUMPLE"</formula>
    </cfRule>
  </conditionalFormatting>
  <conditionalFormatting sqref="AF6:AF7 AF10:AF13">
    <cfRule type="cellIs" dxfId="117" priority="20" operator="equal">
      <formula>"NO CUMPLE"</formula>
    </cfRule>
  </conditionalFormatting>
  <conditionalFormatting sqref="AF8:AF9">
    <cfRule type="cellIs" dxfId="116" priority="19" operator="equal">
      <formula>"NO CUMPLE"</formula>
    </cfRule>
  </conditionalFormatting>
  <conditionalFormatting sqref="AE15">
    <cfRule type="cellIs" dxfId="115" priority="17" operator="equal">
      <formula>"NO CUMPLE"</formula>
    </cfRule>
    <cfRule type="cellIs" dxfId="114" priority="18" operator="equal">
      <formula>"CUMPLE"</formula>
    </cfRule>
  </conditionalFormatting>
  <conditionalFormatting sqref="AJ6:AJ7">
    <cfRule type="cellIs" dxfId="113" priority="16" operator="equal">
      <formula>"NO CUMPLE"</formula>
    </cfRule>
  </conditionalFormatting>
  <conditionalFormatting sqref="AJ10:AJ13">
    <cfRule type="cellIs" dxfId="112" priority="15" operator="equal">
      <formula>"NO CUMPLE"</formula>
    </cfRule>
  </conditionalFormatting>
  <conditionalFormatting sqref="AJ8:AJ9">
    <cfRule type="cellIs" dxfId="111" priority="14" operator="equal">
      <formula>"NO CUMPLE"</formula>
    </cfRule>
  </conditionalFormatting>
  <conditionalFormatting sqref="AI15">
    <cfRule type="cellIs" dxfId="110" priority="12" operator="equal">
      <formula>"NO CUMPLE"</formula>
    </cfRule>
    <cfRule type="cellIs" dxfId="109" priority="13" operator="equal">
      <formula>"CUMPLE"</formula>
    </cfRule>
  </conditionalFormatting>
  <conditionalFormatting sqref="AN6:AN7">
    <cfRule type="cellIs" dxfId="108" priority="11" operator="equal">
      <formula>"NO CUMPLE"</formula>
    </cfRule>
  </conditionalFormatting>
  <conditionalFormatting sqref="AN10:AN13">
    <cfRule type="cellIs" dxfId="107" priority="10" operator="equal">
      <formula>"NO CUMPLE"</formula>
    </cfRule>
  </conditionalFormatting>
  <conditionalFormatting sqref="AN8:AN9">
    <cfRule type="cellIs" dxfId="106" priority="9" operator="equal">
      <formula>"NO CUMPLE"</formula>
    </cfRule>
  </conditionalFormatting>
  <conditionalFormatting sqref="AM15">
    <cfRule type="cellIs" dxfId="105" priority="7" operator="equal">
      <formula>"NO CUMPLE"</formula>
    </cfRule>
    <cfRule type="cellIs" dxfId="104" priority="8" operator="equal">
      <formula>"CUMPLE"</formula>
    </cfRule>
  </conditionalFormatting>
  <conditionalFormatting sqref="AR6:AR7 AR10:AR13">
    <cfRule type="cellIs" dxfId="103" priority="6" operator="equal">
      <formula>"NO CUMPLE"</formula>
    </cfRule>
  </conditionalFormatting>
  <conditionalFormatting sqref="AR8:AR9">
    <cfRule type="cellIs" dxfId="102" priority="5" operator="equal">
      <formula>"NO CUMPLE"</formula>
    </cfRule>
  </conditionalFormatting>
  <conditionalFormatting sqref="AQ15">
    <cfRule type="cellIs" dxfId="101" priority="1" operator="equal">
      <formula>"NO CUMPLE"</formula>
    </cfRule>
    <cfRule type="cellIs" dxfId="100" priority="2" operator="equal">
      <formula>"CUMPLE"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2"/>
  <sheetViews>
    <sheetView zoomScale="90" zoomScaleNormal="90" workbookViewId="0">
      <pane xSplit="4" ySplit="4" topLeftCell="W5" activePane="bottomRight" state="frozen"/>
      <selection activeCell="E21" sqref="E21"/>
      <selection pane="topRight" activeCell="E21" sqref="E21"/>
      <selection pane="bottomLeft" activeCell="E21" sqref="E21"/>
      <selection pane="bottomRight" activeCell="AA25" sqref="AA25"/>
    </sheetView>
  </sheetViews>
  <sheetFormatPr baseColWidth="10" defaultRowHeight="15" x14ac:dyDescent="0.25"/>
  <cols>
    <col min="1" max="2" width="20.7109375" style="59" customWidth="1"/>
    <col min="3" max="3" width="2.7109375" style="59" customWidth="1"/>
    <col min="4" max="4" width="20.7109375" style="59" customWidth="1"/>
    <col min="5" max="5" width="2.7109375" style="59" customWidth="1"/>
    <col min="6" max="6" width="8.7109375" style="59" customWidth="1"/>
    <col min="7" max="7" width="20.7109375" style="59" customWidth="1"/>
    <col min="8" max="8" width="12.7109375" style="59" customWidth="1"/>
    <col min="9" max="9" width="3.28515625" customWidth="1"/>
    <col min="10" max="10" width="8.7109375" style="59" customWidth="1"/>
    <col min="11" max="11" width="20.7109375" style="59" customWidth="1"/>
    <col min="12" max="12" width="12.7109375" style="59" customWidth="1"/>
    <col min="13" max="13" width="3.28515625" customWidth="1"/>
    <col min="14" max="14" width="8.7109375" style="59" customWidth="1"/>
    <col min="15" max="15" width="20.7109375" style="59" customWidth="1"/>
    <col min="16" max="16" width="12.7109375" style="59" customWidth="1"/>
    <col min="17" max="17" width="3.28515625" customWidth="1"/>
    <col min="18" max="18" width="8.7109375" style="59" customWidth="1"/>
    <col min="19" max="19" width="20.7109375" style="59" customWidth="1"/>
    <col min="20" max="20" width="12.7109375" style="59" customWidth="1"/>
    <col min="21" max="21" width="3.28515625" customWidth="1"/>
    <col min="22" max="22" width="8.7109375" style="59" customWidth="1"/>
    <col min="23" max="23" width="20.7109375" style="59" customWidth="1"/>
    <col min="24" max="24" width="12.7109375" style="59" customWidth="1"/>
    <col min="25" max="25" width="3.28515625" customWidth="1"/>
    <col min="26" max="26" width="8.7109375" style="59" customWidth="1"/>
    <col min="27" max="27" width="20.7109375" style="59" customWidth="1"/>
    <col min="28" max="28" width="12.7109375" style="59" customWidth="1"/>
    <col min="29" max="29" width="3.28515625" customWidth="1"/>
    <col min="30" max="30" width="8.7109375" style="59" customWidth="1"/>
    <col min="31" max="31" width="20.7109375" style="59" customWidth="1"/>
    <col min="32" max="32" width="12.7109375" style="59" customWidth="1"/>
    <col min="33" max="33" width="3.28515625" customWidth="1"/>
    <col min="34" max="34" width="8.7109375" style="59" customWidth="1"/>
    <col min="35" max="35" width="20.7109375" style="59" customWidth="1"/>
    <col min="36" max="36" width="12.7109375" style="59" customWidth="1"/>
    <col min="37" max="37" width="3.28515625" customWidth="1"/>
    <col min="38" max="38" width="8.7109375" style="59" customWidth="1"/>
    <col min="39" max="39" width="20.7109375" style="59" customWidth="1"/>
    <col min="40" max="40" width="12.7109375" style="59" customWidth="1"/>
    <col min="41" max="41" width="3.28515625" customWidth="1"/>
    <col min="42" max="42" width="8.7109375" style="59" customWidth="1"/>
    <col min="43" max="43" width="20.7109375" style="59" customWidth="1"/>
    <col min="44" max="44" width="12.7109375" style="59" customWidth="1"/>
  </cols>
  <sheetData>
    <row r="1" spans="1:44" x14ac:dyDescent="0.25">
      <c r="G1" s="60" t="s">
        <v>100</v>
      </c>
      <c r="K1" s="60" t="s">
        <v>100</v>
      </c>
      <c r="O1" s="60" t="s">
        <v>100</v>
      </c>
      <c r="S1" s="60" t="s">
        <v>100</v>
      </c>
      <c r="W1" s="60" t="s">
        <v>100</v>
      </c>
      <c r="AA1" s="60" t="s">
        <v>100</v>
      </c>
      <c r="AE1" s="60" t="s">
        <v>100</v>
      </c>
      <c r="AI1" s="60" t="s">
        <v>100</v>
      </c>
      <c r="AM1" s="60" t="s">
        <v>100</v>
      </c>
      <c r="AQ1" s="60" t="s">
        <v>100</v>
      </c>
    </row>
    <row r="2" spans="1:44" x14ac:dyDescent="0.25">
      <c r="A2" s="310" t="s">
        <v>101</v>
      </c>
      <c r="B2" s="310"/>
      <c r="C2" s="61"/>
      <c r="D2" s="62" t="s">
        <v>102</v>
      </c>
      <c r="E2" s="61"/>
      <c r="F2" s="61"/>
      <c r="G2" s="62">
        <v>1</v>
      </c>
      <c r="H2" s="61"/>
      <c r="J2" s="61"/>
      <c r="K2" s="62">
        <v>2</v>
      </c>
      <c r="L2" s="61"/>
      <c r="N2" s="61"/>
      <c r="O2" s="62">
        <v>3</v>
      </c>
      <c r="P2" s="61"/>
      <c r="R2" s="61"/>
      <c r="S2" s="62">
        <v>4</v>
      </c>
      <c r="T2" s="61"/>
      <c r="V2" s="61"/>
      <c r="W2" s="62">
        <v>5</v>
      </c>
      <c r="X2" s="61"/>
      <c r="Z2" s="61"/>
      <c r="AA2" s="62">
        <v>6</v>
      </c>
      <c r="AB2" s="61"/>
      <c r="AD2" s="61"/>
      <c r="AE2" s="62">
        <v>7</v>
      </c>
      <c r="AF2" s="61"/>
      <c r="AH2" s="61"/>
      <c r="AI2" s="62">
        <v>8</v>
      </c>
      <c r="AJ2" s="61"/>
      <c r="AL2" s="61"/>
      <c r="AM2" s="62">
        <v>9</v>
      </c>
      <c r="AN2" s="61"/>
      <c r="AP2" s="61"/>
      <c r="AQ2" s="62">
        <v>10</v>
      </c>
      <c r="AR2" s="61"/>
    </row>
    <row r="3" spans="1:44" ht="38.25" x14ac:dyDescent="0.25">
      <c r="A3" s="310"/>
      <c r="B3" s="310"/>
      <c r="C3" s="63"/>
      <c r="D3" s="64" t="s">
        <v>113</v>
      </c>
      <c r="E3" s="63"/>
      <c r="F3" s="63"/>
      <c r="G3" s="64" t="s">
        <v>150</v>
      </c>
      <c r="H3" s="63"/>
      <c r="J3" s="63"/>
      <c r="K3" s="64" t="s">
        <v>149</v>
      </c>
      <c r="L3" s="63"/>
      <c r="N3" s="63"/>
      <c r="O3" s="64" t="s">
        <v>148</v>
      </c>
      <c r="P3" s="63"/>
      <c r="R3" s="63"/>
      <c r="S3" s="64" t="s">
        <v>172</v>
      </c>
      <c r="T3" s="63"/>
      <c r="V3" s="63"/>
      <c r="W3" s="64" t="s">
        <v>175</v>
      </c>
      <c r="X3" s="63"/>
      <c r="Z3" s="63"/>
      <c r="AA3" s="64" t="s">
        <v>176</v>
      </c>
      <c r="AB3" s="63"/>
      <c r="AD3" s="63"/>
      <c r="AE3" s="64" t="s">
        <v>177</v>
      </c>
      <c r="AF3" s="63"/>
      <c r="AH3" s="63"/>
      <c r="AI3" s="64" t="s">
        <v>147</v>
      </c>
      <c r="AJ3" s="63"/>
      <c r="AL3" s="63"/>
      <c r="AM3" s="64" t="s">
        <v>178</v>
      </c>
      <c r="AN3" s="63"/>
      <c r="AP3" s="63"/>
      <c r="AQ3" s="64" t="s">
        <v>179</v>
      </c>
      <c r="AR3" s="63"/>
    </row>
    <row r="4" spans="1:44" x14ac:dyDescent="0.25">
      <c r="C4" s="65"/>
      <c r="E4" s="65"/>
      <c r="F4" s="65"/>
      <c r="G4" s="66"/>
      <c r="H4" s="65"/>
      <c r="J4" s="65"/>
      <c r="K4" s="66"/>
      <c r="L4" s="65"/>
      <c r="N4" s="65"/>
      <c r="O4" s="66"/>
      <c r="P4" s="65"/>
      <c r="R4" s="65"/>
      <c r="S4" s="66"/>
      <c r="T4" s="65"/>
      <c r="V4" s="65"/>
      <c r="W4" s="66"/>
      <c r="X4" s="65"/>
      <c r="Z4" s="65"/>
      <c r="AA4" s="66"/>
      <c r="AB4" s="65"/>
      <c r="AD4" s="65"/>
      <c r="AE4" s="66"/>
      <c r="AF4" s="65"/>
      <c r="AH4" s="65"/>
      <c r="AI4" s="66"/>
      <c r="AJ4" s="65"/>
      <c r="AL4" s="65"/>
      <c r="AM4" s="66"/>
      <c r="AN4" s="65"/>
      <c r="AP4" s="65"/>
      <c r="AQ4" s="66"/>
      <c r="AR4" s="65"/>
    </row>
    <row r="5" spans="1:44" x14ac:dyDescent="0.25">
      <c r="A5" s="67"/>
    </row>
    <row r="6" spans="1:44" s="192" customFormat="1" ht="30.75" customHeight="1" x14ac:dyDescent="0.25">
      <c r="A6" s="316" t="s">
        <v>194</v>
      </c>
      <c r="B6" s="317"/>
      <c r="C6" s="189"/>
      <c r="D6" s="190">
        <v>500</v>
      </c>
      <c r="E6" s="189"/>
      <c r="F6" s="189"/>
      <c r="G6" s="196">
        <f>+G14+G20+G26+G32</f>
        <v>727</v>
      </c>
      <c r="H6" s="191"/>
      <c r="J6" s="189"/>
      <c r="K6" s="196">
        <f>+K14+K20+K26</f>
        <v>2795.88</v>
      </c>
      <c r="L6" s="191"/>
      <c r="N6" s="189"/>
      <c r="O6" s="196">
        <f>+O14+O20+O26</f>
        <v>1233.3</v>
      </c>
      <c r="P6" s="191"/>
      <c r="R6" s="189"/>
      <c r="S6" s="196">
        <f>+S14+S20+S26</f>
        <v>650.56999999999994</v>
      </c>
      <c r="T6" s="191"/>
      <c r="V6" s="189"/>
      <c r="W6" s="196">
        <f>+W14+W20+W26</f>
        <v>636.23</v>
      </c>
      <c r="X6" s="191"/>
      <c r="Z6" s="189"/>
      <c r="AA6" s="196">
        <f>+AA14+AA20+AA26</f>
        <v>502.65000000000003</v>
      </c>
      <c r="AB6" s="191"/>
      <c r="AD6" s="189"/>
      <c r="AE6" s="196">
        <f>+AE14+AE20+AE26</f>
        <v>540.54999999999995</v>
      </c>
      <c r="AF6" s="191"/>
      <c r="AH6" s="189"/>
      <c r="AI6" s="196">
        <f>+AI14+AI20+AI26</f>
        <v>790.31999999999994</v>
      </c>
      <c r="AJ6" s="191"/>
      <c r="AL6" s="189"/>
      <c r="AM6" s="196">
        <f>+AM14+AM20+AM26</f>
        <v>161.43</v>
      </c>
      <c r="AN6" s="191"/>
      <c r="AP6" s="189"/>
      <c r="AQ6" s="196">
        <f>+AQ14+AQ20+AQ26</f>
        <v>502.11</v>
      </c>
      <c r="AR6" s="191"/>
    </row>
    <row r="7" spans="1:44" x14ac:dyDescent="0.25">
      <c r="A7" s="67"/>
      <c r="B7" s="67"/>
      <c r="D7" s="150"/>
      <c r="G7" s="150"/>
      <c r="H7" s="66"/>
      <c r="K7" s="150"/>
      <c r="L7" s="66"/>
      <c r="O7" s="150"/>
      <c r="P7" s="66"/>
      <c r="S7" s="150"/>
      <c r="T7" s="66"/>
      <c r="W7" s="150"/>
      <c r="X7" s="66"/>
      <c r="AA7" s="150"/>
      <c r="AB7" s="66"/>
      <c r="AE7" s="150"/>
      <c r="AF7" s="66"/>
      <c r="AI7" s="150"/>
      <c r="AJ7" s="66"/>
      <c r="AM7" s="150"/>
      <c r="AN7" s="66"/>
      <c r="AQ7" s="150"/>
      <c r="AR7" s="66"/>
    </row>
    <row r="8" spans="1:44" x14ac:dyDescent="0.25">
      <c r="A8" s="311" t="s">
        <v>105</v>
      </c>
      <c r="B8" s="312" t="s">
        <v>106</v>
      </c>
      <c r="G8" s="69" t="str">
        <f>+IF(G6&gt;=$D6,"CUMPLE","NO CUMPLE")</f>
        <v>CUMPLE</v>
      </c>
      <c r="K8" s="69" t="str">
        <f>+IF(K6&gt;=$D6,"CUMPLE","NO CUMPLE")</f>
        <v>CUMPLE</v>
      </c>
      <c r="O8" s="69" t="str">
        <f>+IF(O6&gt;=$D6,"CUMPLE","NO CUMPLE")</f>
        <v>CUMPLE</v>
      </c>
      <c r="S8" s="69" t="str">
        <f>+IF(S6&gt;=$D6,"CUMPLE","NO CUMPLE")</f>
        <v>CUMPLE</v>
      </c>
      <c r="W8" s="69" t="str">
        <f>+IF(W6&gt;=$D6,"CUMPLE","NO CUMPLE")</f>
        <v>CUMPLE</v>
      </c>
      <c r="AA8" s="69" t="str">
        <f>+IF(AA6&gt;=$D6,"CUMPLE","NO CUMPLE")</f>
        <v>CUMPLE</v>
      </c>
      <c r="AE8" s="69" t="str">
        <f>+IF(AE6&gt;=$D6,"CUMPLE","NO CUMPLE")</f>
        <v>CUMPLE</v>
      </c>
      <c r="AI8" s="69" t="str">
        <f>+IF(AI6&gt;=$D6,"CUMPLE","NO CUMPLE")</f>
        <v>CUMPLE</v>
      </c>
      <c r="AM8" s="69" t="str">
        <f>+IF(AM6&gt;=$D6,"CUMPLE","NO CUMPLE")</f>
        <v>NO CUMPLE</v>
      </c>
      <c r="AQ8" s="69" t="str">
        <f>+IF(AQ6&gt;=$D6,"CUMPLE","NO CUMPLE")</f>
        <v>CUMPLE</v>
      </c>
    </row>
    <row r="9" spans="1:44" x14ac:dyDescent="0.25">
      <c r="A9" s="67"/>
    </row>
    <row r="10" spans="1:44" x14ac:dyDescent="0.25">
      <c r="A10" s="70" t="s">
        <v>107</v>
      </c>
      <c r="B10" s="71"/>
      <c r="F10" s="87"/>
      <c r="G10" s="88" t="s">
        <v>107</v>
      </c>
      <c r="H10" s="89"/>
      <c r="J10" s="87"/>
      <c r="K10" s="88" t="s">
        <v>107</v>
      </c>
      <c r="L10" s="89"/>
      <c r="N10" s="87"/>
      <c r="O10" s="88" t="s">
        <v>107</v>
      </c>
      <c r="P10" s="89"/>
      <c r="R10" s="87"/>
      <c r="S10" s="88" t="s">
        <v>107</v>
      </c>
      <c r="T10" s="89"/>
      <c r="V10" s="87"/>
      <c r="W10" s="88" t="s">
        <v>107</v>
      </c>
      <c r="X10" s="89"/>
      <c r="Z10" s="87"/>
      <c r="AA10" s="88" t="s">
        <v>107</v>
      </c>
      <c r="AB10" s="89"/>
      <c r="AD10" s="87"/>
      <c r="AE10" s="88" t="s">
        <v>107</v>
      </c>
      <c r="AF10" s="89"/>
      <c r="AH10" s="87"/>
      <c r="AI10" s="88" t="s">
        <v>107</v>
      </c>
      <c r="AJ10" s="89"/>
      <c r="AL10" s="87"/>
      <c r="AM10" s="88" t="s">
        <v>107</v>
      </c>
      <c r="AN10" s="89"/>
      <c r="AP10" s="87"/>
      <c r="AQ10" s="88" t="s">
        <v>107</v>
      </c>
      <c r="AR10" s="89"/>
    </row>
    <row r="11" spans="1:44" x14ac:dyDescent="0.25">
      <c r="A11" s="72"/>
      <c r="B11" s="73"/>
      <c r="F11" s="85"/>
      <c r="G11" s="84"/>
      <c r="H11" s="79"/>
      <c r="J11" s="85"/>
      <c r="K11" s="84"/>
      <c r="L11" s="79"/>
      <c r="N11" s="85"/>
      <c r="O11" s="84"/>
      <c r="P11" s="79"/>
      <c r="R11" s="85"/>
      <c r="S11" s="84"/>
      <c r="T11" s="79"/>
      <c r="V11" s="85"/>
      <c r="W11" s="84"/>
      <c r="X11" s="79"/>
      <c r="Z11" s="85"/>
      <c r="AA11" s="84"/>
      <c r="AB11" s="79"/>
      <c r="AD11" s="85"/>
      <c r="AE11" s="84"/>
      <c r="AF11" s="79"/>
      <c r="AH11" s="85"/>
      <c r="AI11" s="84"/>
      <c r="AJ11" s="79"/>
      <c r="AL11" s="85"/>
      <c r="AM11" s="84"/>
      <c r="AN11" s="79"/>
      <c r="AP11" s="85"/>
      <c r="AQ11" s="84"/>
      <c r="AR11" s="79"/>
    </row>
    <row r="12" spans="1:44" x14ac:dyDescent="0.25">
      <c r="A12" s="72" t="s">
        <v>196</v>
      </c>
      <c r="B12" s="73"/>
      <c r="F12" s="74" t="s">
        <v>109</v>
      </c>
      <c r="G12" s="75">
        <f>125.15+57.1</f>
        <v>182.25</v>
      </c>
      <c r="H12" s="76" t="s">
        <v>97</v>
      </c>
      <c r="J12" s="74" t="s">
        <v>109</v>
      </c>
      <c r="K12" s="75">
        <v>0</v>
      </c>
      <c r="L12" s="76" t="s">
        <v>97</v>
      </c>
      <c r="N12" s="74" t="s">
        <v>109</v>
      </c>
      <c r="O12" s="75">
        <v>1233.3</v>
      </c>
      <c r="P12" s="76" t="s">
        <v>97</v>
      </c>
      <c r="R12" s="74" t="s">
        <v>109</v>
      </c>
      <c r="S12" s="75">
        <v>0</v>
      </c>
      <c r="T12" s="76" t="s">
        <v>97</v>
      </c>
      <c r="V12" s="74" t="s">
        <v>109</v>
      </c>
      <c r="W12" s="75">
        <f>8*2.7+24*3.1*1.7+2*2.4+6*1.2*2.4</f>
        <v>170.16000000000003</v>
      </c>
      <c r="X12" s="76" t="s">
        <v>97</v>
      </c>
      <c r="Z12" s="74" t="s">
        <v>109</v>
      </c>
      <c r="AA12" s="75">
        <f>52.02+155.55+50.83+10.88+9.35+2.04+3.4+1.3+3.4+26+35.88+28.6+5.98</f>
        <v>385.23000000000008</v>
      </c>
      <c r="AB12" s="76" t="s">
        <v>97</v>
      </c>
      <c r="AD12" s="74" t="s">
        <v>109</v>
      </c>
      <c r="AE12" s="75">
        <f>152.8*0.9+15*0.9+107.83*0.9+9*1.4*2.55+2.2+0.6*2.2+6*5.7*1.5+27*1.4+1.25*2.2+12*0.7*1.8+8.8*0.9+7.7*0.4+12*1.41*2.2+6*5.6*0.6+2+2*1.36*0.6+2*3.15*0.6+3.4*0.6+5*2.5+1.5*2.2+2.2*1.2+4*2.2</f>
        <v>495.76300000000003</v>
      </c>
      <c r="AF12" s="76" t="s">
        <v>97</v>
      </c>
      <c r="AH12" s="74" t="s">
        <v>109</v>
      </c>
      <c r="AI12" s="75">
        <f>25*2*1+11*2*1+28.2+4*2.2*1.6+39.51+7.15+190.67</f>
        <v>351.61</v>
      </c>
      <c r="AJ12" s="76"/>
      <c r="AL12" s="74" t="s">
        <v>109</v>
      </c>
      <c r="AM12" s="75">
        <f>543.61+12.76*0.5</f>
        <v>549.99</v>
      </c>
      <c r="AN12" s="76" t="s">
        <v>97</v>
      </c>
      <c r="AP12" s="74" t="s">
        <v>109</v>
      </c>
      <c r="AQ12" s="75">
        <f>28.37+116.08+84.21+33.48+114.13+72.37+33.22+95.1+73.84+27.81+116.58+85.85+43.5+92.58+75.57+43.65+92.68+78.71+8+50.57+161.43+92.18+21.84+22.32+22.32+36.96+45.27+138.13+111.5+95.1+116.88+92.68+129.71+28.37+84.21+33.48+2.63+72.37+33.22+73.84+43.58+75.57+6+50.57+31.72+92.19+22.32+22.32+38.98+45.27+138.13</f>
        <v>3347.3900000000003</v>
      </c>
      <c r="AR12" s="76" t="s">
        <v>97</v>
      </c>
    </row>
    <row r="13" spans="1:44" x14ac:dyDescent="0.25">
      <c r="A13" s="77" t="s">
        <v>111</v>
      </c>
      <c r="B13" s="73"/>
      <c r="F13" s="155">
        <v>0.99</v>
      </c>
      <c r="G13" s="149">
        <v>0.99</v>
      </c>
      <c r="H13" s="184"/>
      <c r="J13" s="155">
        <v>1</v>
      </c>
      <c r="K13" s="149">
        <v>1</v>
      </c>
      <c r="L13" s="184"/>
      <c r="N13" s="155">
        <v>1</v>
      </c>
      <c r="O13" s="149">
        <v>1</v>
      </c>
      <c r="P13" s="184"/>
      <c r="R13" s="155">
        <v>0.2</v>
      </c>
      <c r="S13" s="149">
        <v>0.2</v>
      </c>
      <c r="T13" s="184"/>
      <c r="V13" s="155">
        <v>1</v>
      </c>
      <c r="W13" s="149">
        <v>1</v>
      </c>
      <c r="X13" s="184"/>
      <c r="Z13" s="155">
        <v>1</v>
      </c>
      <c r="AA13" s="149">
        <v>1</v>
      </c>
      <c r="AB13" s="184" t="s">
        <v>334</v>
      </c>
      <c r="AD13" s="155">
        <v>0.9</v>
      </c>
      <c r="AE13" s="149">
        <v>0.9</v>
      </c>
      <c r="AF13" s="185"/>
      <c r="AH13" s="155">
        <v>1</v>
      </c>
      <c r="AI13" s="149">
        <v>1</v>
      </c>
      <c r="AJ13" s="185"/>
      <c r="AL13" s="199">
        <v>0.16500000000000001</v>
      </c>
      <c r="AM13" s="198">
        <v>0.16500000000000001</v>
      </c>
      <c r="AN13" s="185"/>
      <c r="AP13" s="199">
        <v>0.15</v>
      </c>
      <c r="AQ13" s="198">
        <v>0.15</v>
      </c>
      <c r="AR13" s="185"/>
    </row>
    <row r="14" spans="1:44" x14ac:dyDescent="0.25">
      <c r="A14" s="80" t="s">
        <v>195</v>
      </c>
      <c r="B14" s="81"/>
      <c r="F14" s="82" t="s">
        <v>104</v>
      </c>
      <c r="G14" s="195">
        <f>+ROUND(G12*G13,2)</f>
        <v>180.43</v>
      </c>
      <c r="H14" s="86"/>
      <c r="J14" s="82" t="s">
        <v>104</v>
      </c>
      <c r="K14" s="195">
        <f>+ROUND(K12*K13,2)</f>
        <v>0</v>
      </c>
      <c r="L14" s="86"/>
      <c r="N14" s="82" t="s">
        <v>104</v>
      </c>
      <c r="O14" s="195">
        <f>+ROUND(O12*O13,2)</f>
        <v>1233.3</v>
      </c>
      <c r="P14" s="86"/>
      <c r="R14" s="82" t="s">
        <v>104</v>
      </c>
      <c r="S14" s="195">
        <f>+ROUND(S12*S13,2)</f>
        <v>0</v>
      </c>
      <c r="T14" s="86"/>
      <c r="V14" s="82" t="s">
        <v>104</v>
      </c>
      <c r="W14" s="195">
        <f>+ROUND(W12*W13,2)</f>
        <v>170.16</v>
      </c>
      <c r="X14" s="86"/>
      <c r="Z14" s="82" t="s">
        <v>104</v>
      </c>
      <c r="AA14" s="195">
        <f>+ROUND(AA12*AA13,2)</f>
        <v>385.23</v>
      </c>
      <c r="AB14" s="86"/>
      <c r="AD14" s="82" t="s">
        <v>104</v>
      </c>
      <c r="AE14" s="195">
        <f>+ROUND(AE12*AE13,2)</f>
        <v>446.19</v>
      </c>
      <c r="AF14" s="86"/>
      <c r="AH14" s="82" t="s">
        <v>104</v>
      </c>
      <c r="AI14" s="195">
        <f>+ROUND(AI12*AI13,2)</f>
        <v>351.61</v>
      </c>
      <c r="AJ14" s="86"/>
      <c r="AL14" s="82" t="s">
        <v>104</v>
      </c>
      <c r="AM14" s="195">
        <f>+ROUND(AM12*AM13,2)</f>
        <v>90.75</v>
      </c>
      <c r="AN14" s="86"/>
      <c r="AP14" s="82" t="s">
        <v>104</v>
      </c>
      <c r="AQ14" s="195">
        <f>+ROUND(AQ12*AQ13,2)</f>
        <v>502.11</v>
      </c>
      <c r="AR14" s="86"/>
    </row>
    <row r="16" spans="1:44" x14ac:dyDescent="0.25">
      <c r="A16" s="70" t="s">
        <v>112</v>
      </c>
      <c r="B16" s="71"/>
      <c r="F16" s="87"/>
      <c r="G16" s="88" t="s">
        <v>112</v>
      </c>
      <c r="H16" s="89"/>
      <c r="J16" s="87"/>
      <c r="K16" s="88" t="s">
        <v>112</v>
      </c>
      <c r="L16" s="89"/>
      <c r="N16" s="87"/>
      <c r="O16" s="88" t="s">
        <v>112</v>
      </c>
      <c r="P16" s="89"/>
      <c r="R16" s="87"/>
      <c r="S16" s="88" t="s">
        <v>112</v>
      </c>
      <c r="T16" s="89"/>
      <c r="V16" s="87"/>
      <c r="W16" s="88" t="s">
        <v>112</v>
      </c>
      <c r="X16" s="89"/>
      <c r="Z16" s="87"/>
      <c r="AA16" s="88" t="s">
        <v>112</v>
      </c>
      <c r="AB16" s="89"/>
      <c r="AD16" s="87"/>
      <c r="AE16" s="88" t="s">
        <v>112</v>
      </c>
      <c r="AF16" s="89"/>
      <c r="AH16" s="87"/>
      <c r="AI16" s="88" t="s">
        <v>112</v>
      </c>
      <c r="AJ16" s="89"/>
      <c r="AL16" s="87"/>
      <c r="AM16" s="88" t="s">
        <v>112</v>
      </c>
      <c r="AN16" s="89"/>
      <c r="AP16" s="87"/>
      <c r="AQ16" s="88" t="s">
        <v>112</v>
      </c>
      <c r="AR16" s="89"/>
    </row>
    <row r="17" spans="1:44" x14ac:dyDescent="0.25">
      <c r="A17" s="72"/>
      <c r="B17" s="73"/>
      <c r="F17" s="85"/>
      <c r="G17" s="84"/>
      <c r="H17" s="79"/>
      <c r="J17" s="85"/>
      <c r="K17" s="84"/>
      <c r="L17" s="79"/>
      <c r="N17" s="85"/>
      <c r="O17" s="84"/>
      <c r="P17" s="79"/>
      <c r="R17" s="85"/>
      <c r="S17" s="84"/>
      <c r="T17" s="79"/>
      <c r="V17" s="85"/>
      <c r="W17" s="84"/>
      <c r="X17" s="79"/>
      <c r="Z17" s="85"/>
      <c r="AA17" s="84"/>
      <c r="AB17" s="79"/>
      <c r="AD17" s="85"/>
      <c r="AE17" s="84"/>
      <c r="AF17" s="79"/>
      <c r="AH17" s="85"/>
      <c r="AI17" s="84"/>
      <c r="AJ17" s="79"/>
      <c r="AL17" s="85"/>
      <c r="AM17" s="84"/>
      <c r="AN17" s="79"/>
      <c r="AP17" s="85"/>
      <c r="AQ17" s="84"/>
      <c r="AR17" s="79"/>
    </row>
    <row r="18" spans="1:44" x14ac:dyDescent="0.25">
      <c r="A18" s="72" t="s">
        <v>196</v>
      </c>
      <c r="B18" s="73"/>
      <c r="F18" s="74" t="s">
        <v>109</v>
      </c>
      <c r="G18" s="75">
        <f>94.01+36+35.08</f>
        <v>165.08999999999997</v>
      </c>
      <c r="H18" s="76" t="s">
        <v>97</v>
      </c>
      <c r="J18" s="74" t="s">
        <v>109</v>
      </c>
      <c r="K18" s="75">
        <f>462*2.2*1+462*2.2*1+5*5.8*1+172*2.2*1+102*1.2*1.5+112*0.9+33*1.2*1.8</f>
        <v>2795.8800000000006</v>
      </c>
      <c r="L18" s="76" t="s">
        <v>97</v>
      </c>
      <c r="N18" s="74" t="s">
        <v>109</v>
      </c>
      <c r="O18" s="75">
        <v>0</v>
      </c>
      <c r="P18" s="76" t="s">
        <v>97</v>
      </c>
      <c r="R18" s="74" t="s">
        <v>109</v>
      </c>
      <c r="S18" s="75">
        <f>126*0.9+142.01+38.27+28.12+2.3*0.9+25.5+20.4+28+9</f>
        <v>406.77</v>
      </c>
      <c r="T18" s="76" t="s">
        <v>97</v>
      </c>
      <c r="V18" s="74" t="s">
        <v>109</v>
      </c>
      <c r="W18" s="75">
        <f>84+19+10.9+1*2.1+10.79+2*0.9*2.1+0.5</f>
        <v>131.07</v>
      </c>
      <c r="X18" s="76" t="s">
        <v>97</v>
      </c>
      <c r="Z18" s="74" t="s">
        <v>109</v>
      </c>
      <c r="AA18" s="75">
        <f>5.88+4.2+3.15+52.11+1.35</f>
        <v>66.69</v>
      </c>
      <c r="AB18" s="76" t="s">
        <v>97</v>
      </c>
      <c r="AD18" s="74" t="s">
        <v>109</v>
      </c>
      <c r="AE18" s="75">
        <v>94.36</v>
      </c>
      <c r="AF18" s="76" t="s">
        <v>97</v>
      </c>
      <c r="AH18" s="74" t="s">
        <v>109</v>
      </c>
      <c r="AI18" s="75">
        <f>4*3.4*1.2+2.16*0.94+8*3.25*1.1+2*2.2*0.9+4*3.25*1+2.1*0.9+16*2.2*2+4*2.2*1+8*2.2*2+3*2.2*1+4*2.4*1.4+2.4+8*1.6*1.35+2*2.35+10*1.8*0.7+2.2*2+16*2.2*1.2+4*2.2*1+4*2.2*2+2.2*1.2+3+2.2+4*0.5+19.23*0.9</f>
        <v>337.4074</v>
      </c>
      <c r="AJ18" s="76"/>
      <c r="AL18" s="74" t="s">
        <v>109</v>
      </c>
      <c r="AM18" s="75">
        <f>21.19+15.19+123*0.3+8.91+10+18.7+4.99+57.27+18.59+7.46+15.59+6.36+2.58+10.87+9.54+37.45+34.18+7.74+19.57+6.44+3.89</f>
        <v>353.41</v>
      </c>
      <c r="AN18" s="76" t="s">
        <v>97</v>
      </c>
      <c r="AP18" s="74" t="s">
        <v>109</v>
      </c>
      <c r="AQ18" s="75">
        <v>0</v>
      </c>
      <c r="AR18" s="76" t="s">
        <v>168</v>
      </c>
    </row>
    <row r="19" spans="1:44" x14ac:dyDescent="0.25">
      <c r="A19" s="77" t="s">
        <v>111</v>
      </c>
      <c r="B19" s="73"/>
      <c r="F19" s="155">
        <v>0.5</v>
      </c>
      <c r="G19" s="78">
        <v>0.5</v>
      </c>
      <c r="H19" s="184"/>
      <c r="J19" s="155">
        <v>1</v>
      </c>
      <c r="K19" s="78">
        <v>1</v>
      </c>
      <c r="L19" s="184"/>
      <c r="N19" s="155">
        <v>0</v>
      </c>
      <c r="O19" s="78">
        <v>0</v>
      </c>
      <c r="P19" s="184"/>
      <c r="R19" s="155">
        <v>1</v>
      </c>
      <c r="S19" s="78">
        <v>1</v>
      </c>
      <c r="T19" s="184"/>
      <c r="V19" s="155">
        <v>0.8</v>
      </c>
      <c r="W19" s="78">
        <v>0.8</v>
      </c>
      <c r="X19" s="184"/>
      <c r="Z19" s="155">
        <v>1</v>
      </c>
      <c r="AA19" s="78">
        <v>1</v>
      </c>
      <c r="AB19" s="184"/>
      <c r="AD19" s="155">
        <v>1</v>
      </c>
      <c r="AE19" s="78">
        <v>1</v>
      </c>
      <c r="AF19" s="185"/>
      <c r="AH19" s="155">
        <v>1</v>
      </c>
      <c r="AI19" s="78">
        <v>1</v>
      </c>
      <c r="AJ19" s="185"/>
      <c r="AL19" s="155">
        <v>0.2</v>
      </c>
      <c r="AM19" s="78">
        <v>0.2</v>
      </c>
      <c r="AN19" s="185"/>
      <c r="AP19" s="155">
        <v>0.35</v>
      </c>
      <c r="AQ19" s="78">
        <v>0</v>
      </c>
      <c r="AR19" s="185"/>
    </row>
    <row r="20" spans="1:44" x14ac:dyDescent="0.25">
      <c r="A20" s="80" t="s">
        <v>195</v>
      </c>
      <c r="B20" s="81"/>
      <c r="F20" s="82" t="s">
        <v>104</v>
      </c>
      <c r="G20" s="195">
        <f>+ROUND(G18*G19,2)</f>
        <v>82.55</v>
      </c>
      <c r="H20" s="86"/>
      <c r="J20" s="82" t="s">
        <v>104</v>
      </c>
      <c r="K20" s="195">
        <f>+ROUND(K18*K19,2)</f>
        <v>2795.88</v>
      </c>
      <c r="L20" s="86"/>
      <c r="N20" s="82" t="s">
        <v>104</v>
      </c>
      <c r="O20" s="195">
        <f>+ROUND(O18*O19,2)</f>
        <v>0</v>
      </c>
      <c r="P20" s="86"/>
      <c r="R20" s="82" t="s">
        <v>104</v>
      </c>
      <c r="S20" s="195">
        <f>+ROUND(S18*S19,2)</f>
        <v>406.77</v>
      </c>
      <c r="T20" s="86"/>
      <c r="V20" s="82" t="s">
        <v>104</v>
      </c>
      <c r="W20" s="195">
        <f>+ROUND(W18*W19,2)</f>
        <v>104.86</v>
      </c>
      <c r="X20" s="86"/>
      <c r="Z20" s="82" t="s">
        <v>163</v>
      </c>
      <c r="AA20" s="195">
        <f>+ROUND(AA18*AA19,2)</f>
        <v>66.69</v>
      </c>
      <c r="AB20" s="86"/>
      <c r="AD20" s="82" t="s">
        <v>104</v>
      </c>
      <c r="AE20" s="195">
        <f>+ROUND(AE18*AE19,2)</f>
        <v>94.36</v>
      </c>
      <c r="AF20" s="86"/>
      <c r="AH20" s="82" t="s">
        <v>104</v>
      </c>
      <c r="AI20" s="195">
        <f>+ROUND(AI18*AI19,2)</f>
        <v>337.41</v>
      </c>
      <c r="AJ20" s="86"/>
      <c r="AL20" s="82" t="s">
        <v>104</v>
      </c>
      <c r="AM20" s="195">
        <f>+ROUND(AM18*AM19,2)</f>
        <v>70.680000000000007</v>
      </c>
      <c r="AN20" s="86"/>
      <c r="AP20" s="82" t="s">
        <v>104</v>
      </c>
      <c r="AQ20" s="195">
        <f>+ROUND(AQ18*AQ19,2)</f>
        <v>0</v>
      </c>
      <c r="AR20" s="86"/>
    </row>
    <row r="22" spans="1:44" x14ac:dyDescent="0.25">
      <c r="A22" s="70" t="s">
        <v>184</v>
      </c>
      <c r="B22" s="71"/>
      <c r="F22" s="87"/>
      <c r="G22" s="88" t="s">
        <v>112</v>
      </c>
      <c r="H22" s="89"/>
      <c r="J22" s="87"/>
      <c r="K22" s="88" t="s">
        <v>184</v>
      </c>
      <c r="L22" s="89"/>
      <c r="N22" s="87"/>
      <c r="O22" s="88" t="s">
        <v>184</v>
      </c>
      <c r="P22" s="89"/>
      <c r="R22" s="87"/>
      <c r="S22" s="88" t="s">
        <v>184</v>
      </c>
      <c r="T22" s="89"/>
      <c r="V22" s="87"/>
      <c r="W22" s="88" t="s">
        <v>184</v>
      </c>
      <c r="X22" s="89"/>
      <c r="Z22" s="87"/>
      <c r="AA22" s="88" t="s">
        <v>184</v>
      </c>
      <c r="AB22" s="89"/>
      <c r="AD22" s="87"/>
      <c r="AE22" s="88" t="s">
        <v>184</v>
      </c>
      <c r="AF22" s="89"/>
      <c r="AH22" s="87"/>
      <c r="AI22" s="88" t="s">
        <v>184</v>
      </c>
      <c r="AJ22" s="89"/>
      <c r="AL22" s="87"/>
      <c r="AM22" s="88" t="s">
        <v>184</v>
      </c>
      <c r="AN22" s="89"/>
      <c r="AP22" s="87"/>
      <c r="AQ22" s="88" t="s">
        <v>184</v>
      </c>
      <c r="AR22" s="89"/>
    </row>
    <row r="23" spans="1:44" x14ac:dyDescent="0.25">
      <c r="A23" s="72"/>
      <c r="B23" s="73"/>
      <c r="F23" s="85"/>
      <c r="G23" s="84"/>
      <c r="H23" s="79"/>
      <c r="J23" s="85"/>
      <c r="K23" s="84"/>
      <c r="L23" s="79"/>
      <c r="N23" s="85"/>
      <c r="O23" s="84"/>
      <c r="P23" s="79"/>
      <c r="R23" s="85"/>
      <c r="S23" s="84"/>
      <c r="T23" s="79"/>
      <c r="V23" s="85"/>
      <c r="W23" s="84"/>
      <c r="X23" s="79"/>
      <c r="Z23" s="85"/>
      <c r="AA23" s="84"/>
      <c r="AB23" s="79"/>
      <c r="AD23" s="85"/>
      <c r="AE23" s="84"/>
      <c r="AF23" s="79"/>
      <c r="AH23" s="85"/>
      <c r="AI23" s="84"/>
      <c r="AJ23" s="79"/>
      <c r="AL23" s="85"/>
      <c r="AM23" s="84"/>
      <c r="AN23" s="79"/>
      <c r="AP23" s="85"/>
      <c r="AQ23" s="84"/>
      <c r="AR23" s="79"/>
    </row>
    <row r="24" spans="1:44" x14ac:dyDescent="0.25">
      <c r="A24" s="72" t="s">
        <v>196</v>
      </c>
      <c r="B24" s="73"/>
      <c r="F24" s="74" t="s">
        <v>109</v>
      </c>
      <c r="G24" s="75">
        <f>94.01+36+35.08</f>
        <v>165.08999999999997</v>
      </c>
      <c r="H24" s="76" t="s">
        <v>97</v>
      </c>
      <c r="J24" s="74" t="s">
        <v>109</v>
      </c>
      <c r="K24" s="75">
        <v>0</v>
      </c>
      <c r="L24" s="76" t="s">
        <v>97</v>
      </c>
      <c r="N24" s="74" t="s">
        <v>109</v>
      </c>
      <c r="O24" s="75">
        <v>0</v>
      </c>
      <c r="P24" s="76" t="s">
        <v>97</v>
      </c>
      <c r="R24" s="74" t="s">
        <v>109</v>
      </c>
      <c r="S24" s="75">
        <f>90.87+12+90.67+44.26+6</f>
        <v>243.8</v>
      </c>
      <c r="T24" s="76" t="s">
        <v>97</v>
      </c>
      <c r="V24" s="74" t="s">
        <v>109</v>
      </c>
      <c r="W24" s="75">
        <f>12+7+3.84+2*1.84*2.23+22+1.6*2.4+1.98*2.45+36+102.92+3.41+3.87+23.86+7.38+69.25+15.31+5.36+25+1.91+0.39*1.25+4*0.29*1.13+0.29*1.99+0.39*2.93+6*0.29*0.97</f>
        <v>361.21329999999995</v>
      </c>
      <c r="X24" s="76" t="s">
        <v>97</v>
      </c>
      <c r="Z24" s="74" t="s">
        <v>109</v>
      </c>
      <c r="AA24" s="75">
        <f>6.3+2.1+12+13.86+1+4.41+1.68+3.78+5.6</f>
        <v>50.730000000000004</v>
      </c>
      <c r="AB24" s="76" t="s">
        <v>97</v>
      </c>
      <c r="AD24" s="74" t="s">
        <v>109</v>
      </c>
      <c r="AE24" s="75">
        <v>0</v>
      </c>
      <c r="AF24" s="76" t="s">
        <v>97</v>
      </c>
      <c r="AH24" s="74" t="s">
        <v>109</v>
      </c>
      <c r="AI24" s="75">
        <f>89.3+12</f>
        <v>101.3</v>
      </c>
      <c r="AJ24" s="76"/>
      <c r="AL24" s="74" t="s">
        <v>109</v>
      </c>
      <c r="AM24" s="75">
        <v>0</v>
      </c>
      <c r="AN24" s="76"/>
      <c r="AP24" s="74" t="s">
        <v>109</v>
      </c>
      <c r="AQ24" s="75">
        <v>0</v>
      </c>
      <c r="AR24" s="76" t="s">
        <v>168</v>
      </c>
    </row>
    <row r="25" spans="1:44" x14ac:dyDescent="0.25">
      <c r="A25" s="77" t="s">
        <v>111</v>
      </c>
      <c r="B25" s="73"/>
      <c r="F25" s="155">
        <v>0.5</v>
      </c>
      <c r="G25" s="78">
        <v>0.5</v>
      </c>
      <c r="H25" s="184"/>
      <c r="J25" s="155">
        <v>1</v>
      </c>
      <c r="K25" s="78">
        <v>1</v>
      </c>
      <c r="L25" s="184"/>
      <c r="N25" s="155">
        <v>0</v>
      </c>
      <c r="O25" s="78">
        <v>0</v>
      </c>
      <c r="P25" s="184"/>
      <c r="R25" s="155">
        <v>1</v>
      </c>
      <c r="S25" s="78">
        <v>1</v>
      </c>
      <c r="T25" s="184"/>
      <c r="V25" s="155">
        <v>1</v>
      </c>
      <c r="W25" s="78">
        <v>1</v>
      </c>
      <c r="X25" s="184"/>
      <c r="Z25" s="155">
        <v>1</v>
      </c>
      <c r="AA25" s="78">
        <v>1</v>
      </c>
      <c r="AB25" s="184"/>
      <c r="AD25" s="155">
        <v>0.3</v>
      </c>
      <c r="AE25" s="78">
        <v>0.3</v>
      </c>
      <c r="AF25" s="185"/>
      <c r="AH25" s="155">
        <v>1</v>
      </c>
      <c r="AI25" s="78">
        <v>1</v>
      </c>
      <c r="AJ25" s="185"/>
      <c r="AL25" s="155">
        <v>0</v>
      </c>
      <c r="AM25" s="78">
        <v>0</v>
      </c>
      <c r="AN25" s="185"/>
      <c r="AP25" s="155">
        <v>0.7</v>
      </c>
      <c r="AQ25" s="78">
        <v>0</v>
      </c>
      <c r="AR25" s="185"/>
    </row>
    <row r="26" spans="1:44" x14ac:dyDescent="0.25">
      <c r="A26" s="80" t="s">
        <v>195</v>
      </c>
      <c r="B26" s="81"/>
      <c r="F26" s="82" t="s">
        <v>163</v>
      </c>
      <c r="G26" s="195">
        <f>+ROUND(G24*G25,2)</f>
        <v>82.55</v>
      </c>
      <c r="H26" s="86"/>
      <c r="J26" s="82" t="s">
        <v>104</v>
      </c>
      <c r="K26" s="195">
        <f>+ROUND(K24*K25,2)</f>
        <v>0</v>
      </c>
      <c r="L26" s="86"/>
      <c r="N26" s="82" t="s">
        <v>104</v>
      </c>
      <c r="O26" s="195">
        <f>+ROUND(O24*O25,2)</f>
        <v>0</v>
      </c>
      <c r="P26" s="86"/>
      <c r="R26" s="82" t="s">
        <v>104</v>
      </c>
      <c r="S26" s="195">
        <f>+ROUND(S24*S25,2)</f>
        <v>243.8</v>
      </c>
      <c r="T26" s="86"/>
      <c r="V26" s="82" t="s">
        <v>104</v>
      </c>
      <c r="W26" s="195">
        <f>+ROUND(W24*W25,2)</f>
        <v>361.21</v>
      </c>
      <c r="X26" s="86"/>
      <c r="Z26" s="82" t="s">
        <v>104</v>
      </c>
      <c r="AA26" s="195">
        <f>+ROUND(AA24*AA25,2)</f>
        <v>50.73</v>
      </c>
      <c r="AB26" s="86"/>
      <c r="AD26" s="82" t="s">
        <v>163</v>
      </c>
      <c r="AE26" s="195">
        <f>+ROUND(AE24*AE25,2)</f>
        <v>0</v>
      </c>
      <c r="AF26" s="86"/>
      <c r="AH26" s="82" t="s">
        <v>104</v>
      </c>
      <c r="AI26" s="195">
        <f>+ROUND(AI24*AI25,2)</f>
        <v>101.3</v>
      </c>
      <c r="AJ26" s="86"/>
      <c r="AL26" s="82" t="s">
        <v>104</v>
      </c>
      <c r="AM26" s="195">
        <f>+ROUND(AM24*AM25,2)</f>
        <v>0</v>
      </c>
      <c r="AN26" s="86"/>
      <c r="AP26" s="82" t="s">
        <v>104</v>
      </c>
      <c r="AQ26" s="195">
        <f>+ROUND(AQ24*AQ25,2)</f>
        <v>0</v>
      </c>
      <c r="AR26" s="86"/>
    </row>
    <row r="28" spans="1:44" x14ac:dyDescent="0.25">
      <c r="F28" s="87"/>
      <c r="G28" s="88" t="s">
        <v>184</v>
      </c>
      <c r="H28" s="89"/>
    </row>
    <row r="29" spans="1:44" x14ac:dyDescent="0.25">
      <c r="F29" s="85"/>
      <c r="G29" s="84"/>
      <c r="H29" s="79"/>
    </row>
    <row r="30" spans="1:44" x14ac:dyDescent="0.25">
      <c r="F30" s="74" t="s">
        <v>109</v>
      </c>
      <c r="G30" s="75">
        <f>177.68+26.1+48.6+147.19+49.22</f>
        <v>448.78999999999996</v>
      </c>
      <c r="H30" s="76" t="s">
        <v>97</v>
      </c>
    </row>
    <row r="31" spans="1:44" x14ac:dyDescent="0.25">
      <c r="F31" s="155">
        <v>0.85</v>
      </c>
      <c r="G31" s="78">
        <v>0.85</v>
      </c>
      <c r="H31" s="184"/>
    </row>
    <row r="32" spans="1:44" x14ac:dyDescent="0.25">
      <c r="F32" s="82" t="s">
        <v>104</v>
      </c>
      <c r="G32" s="195">
        <f>+ROUND(G30*G31,2)</f>
        <v>381.47</v>
      </c>
      <c r="H32" s="86"/>
    </row>
  </sheetData>
  <mergeCells count="3">
    <mergeCell ref="A8:B8"/>
    <mergeCell ref="A2:B3"/>
    <mergeCell ref="A6:B6"/>
  </mergeCells>
  <conditionalFormatting sqref="H6:H7">
    <cfRule type="cellIs" dxfId="99" priority="33" operator="equal">
      <formula>"NO CUMPLE"</formula>
    </cfRule>
  </conditionalFormatting>
  <conditionalFormatting sqref="L6:L7">
    <cfRule type="cellIs" dxfId="98" priority="32" operator="equal">
      <formula>"NO CUMPLE"</formula>
    </cfRule>
  </conditionalFormatting>
  <conditionalFormatting sqref="P6:P7">
    <cfRule type="cellIs" dxfId="97" priority="24" operator="equal">
      <formula>"NO CUMPLE"</formula>
    </cfRule>
  </conditionalFormatting>
  <conditionalFormatting sqref="G8">
    <cfRule type="cellIs" dxfId="96" priority="27" operator="equal">
      <formula>"NO CUMPLE"</formula>
    </cfRule>
    <cfRule type="cellIs" dxfId="95" priority="28" operator="equal">
      <formula>"CUMPLE"</formula>
    </cfRule>
  </conditionalFormatting>
  <conditionalFormatting sqref="K8">
    <cfRule type="cellIs" dxfId="94" priority="25" operator="equal">
      <formula>"NO CUMPLE"</formula>
    </cfRule>
    <cfRule type="cellIs" dxfId="93" priority="26" operator="equal">
      <formula>"CUMPLE"</formula>
    </cfRule>
  </conditionalFormatting>
  <conditionalFormatting sqref="T6:T7">
    <cfRule type="cellIs" dxfId="92" priority="21" operator="equal">
      <formula>"NO CUMPLE"</formula>
    </cfRule>
  </conditionalFormatting>
  <conditionalFormatting sqref="O8">
    <cfRule type="cellIs" dxfId="91" priority="22" operator="equal">
      <formula>"NO CUMPLE"</formula>
    </cfRule>
    <cfRule type="cellIs" dxfId="90" priority="23" operator="equal">
      <formula>"CUMPLE"</formula>
    </cfRule>
  </conditionalFormatting>
  <conditionalFormatting sqref="S8">
    <cfRule type="cellIs" dxfId="89" priority="19" operator="equal">
      <formula>"NO CUMPLE"</formula>
    </cfRule>
    <cfRule type="cellIs" dxfId="88" priority="20" operator="equal">
      <formula>"CUMPLE"</formula>
    </cfRule>
  </conditionalFormatting>
  <conditionalFormatting sqref="X6:X7">
    <cfRule type="cellIs" dxfId="87" priority="18" operator="equal">
      <formula>"NO CUMPLE"</formula>
    </cfRule>
  </conditionalFormatting>
  <conditionalFormatting sqref="W8">
    <cfRule type="cellIs" dxfId="86" priority="16" operator="equal">
      <formula>"NO CUMPLE"</formula>
    </cfRule>
    <cfRule type="cellIs" dxfId="85" priority="17" operator="equal">
      <formula>"CUMPLE"</formula>
    </cfRule>
  </conditionalFormatting>
  <conditionalFormatting sqref="AB6:AB7">
    <cfRule type="cellIs" dxfId="84" priority="15" operator="equal">
      <formula>"NO CUMPLE"</formula>
    </cfRule>
  </conditionalFormatting>
  <conditionalFormatting sqref="AA8">
    <cfRule type="cellIs" dxfId="83" priority="13" operator="equal">
      <formula>"NO CUMPLE"</formula>
    </cfRule>
    <cfRule type="cellIs" dxfId="82" priority="14" operator="equal">
      <formula>"CUMPLE"</formula>
    </cfRule>
  </conditionalFormatting>
  <conditionalFormatting sqref="AF6:AF7">
    <cfRule type="cellIs" dxfId="81" priority="12" operator="equal">
      <formula>"NO CUMPLE"</formula>
    </cfRule>
  </conditionalFormatting>
  <conditionalFormatting sqref="AE8">
    <cfRule type="cellIs" dxfId="80" priority="10" operator="equal">
      <formula>"NO CUMPLE"</formula>
    </cfRule>
    <cfRule type="cellIs" dxfId="79" priority="11" operator="equal">
      <formula>"CUMPLE"</formula>
    </cfRule>
  </conditionalFormatting>
  <conditionalFormatting sqref="AJ6:AJ7">
    <cfRule type="cellIs" dxfId="78" priority="9" operator="equal">
      <formula>"NO CUMPLE"</formula>
    </cfRule>
  </conditionalFormatting>
  <conditionalFormatting sqref="AI8">
    <cfRule type="cellIs" dxfId="77" priority="7" operator="equal">
      <formula>"NO CUMPLE"</formula>
    </cfRule>
    <cfRule type="cellIs" dxfId="76" priority="8" operator="equal">
      <formula>"CUMPLE"</formula>
    </cfRule>
  </conditionalFormatting>
  <conditionalFormatting sqref="AN6:AN7">
    <cfRule type="cellIs" dxfId="75" priority="6" operator="equal">
      <formula>"NO CUMPLE"</formula>
    </cfRule>
  </conditionalFormatting>
  <conditionalFormatting sqref="AM8">
    <cfRule type="cellIs" dxfId="74" priority="4" operator="equal">
      <formula>"NO CUMPLE"</formula>
    </cfRule>
    <cfRule type="cellIs" dxfId="73" priority="5" operator="equal">
      <formula>"CUMPLE"</formula>
    </cfRule>
  </conditionalFormatting>
  <conditionalFormatting sqref="AR6:AR7">
    <cfRule type="cellIs" dxfId="72" priority="3" operator="equal">
      <formula>"NO CUMPLE"</formula>
    </cfRule>
  </conditionalFormatting>
  <conditionalFormatting sqref="AQ8">
    <cfRule type="cellIs" dxfId="71" priority="1" operator="equal">
      <formula>"NO CUMPLE"</formula>
    </cfRule>
    <cfRule type="cellIs" dxfId="70" priority="2" operator="equal">
      <formula>"CUMPLE"</formula>
    </cfRule>
  </conditionalFormatting>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view="pageBreakPreview" topLeftCell="A7" zoomScale="80" zoomScaleNormal="80" zoomScaleSheetLayoutView="80" workbookViewId="0">
      <pane xSplit="4" ySplit="6" topLeftCell="E13" activePane="bottomRight" state="frozen"/>
      <selection activeCell="A7" sqref="A7"/>
      <selection pane="topRight" activeCell="E7" sqref="E7"/>
      <selection pane="bottomLeft" activeCell="A13" sqref="A13"/>
      <selection pane="bottomRight" activeCell="F17" sqref="F17"/>
    </sheetView>
  </sheetViews>
  <sheetFormatPr baseColWidth="10" defaultColWidth="11.42578125" defaultRowHeight="12.75" x14ac:dyDescent="0.2"/>
  <cols>
    <col min="1" max="1" width="11.42578125" style="124"/>
    <col min="2" max="2" width="38.7109375" style="124" customWidth="1"/>
    <col min="3" max="3" width="13.7109375" style="124" customWidth="1"/>
    <col min="4" max="4" width="10.7109375" style="124" customWidth="1"/>
    <col min="5" max="5" width="13.7109375" style="124" customWidth="1"/>
    <col min="6" max="6" width="10.7109375" style="124" customWidth="1"/>
    <col min="7" max="7" width="13.7109375" style="124" customWidth="1"/>
    <col min="8" max="8" width="10.7109375" style="124" customWidth="1"/>
    <col min="9" max="9" width="13.7109375" style="124" customWidth="1"/>
    <col min="10" max="10" width="10.7109375" style="124" customWidth="1"/>
    <col min="11" max="11" width="13.7109375" style="124" customWidth="1"/>
    <col min="12" max="12" width="10.7109375" style="124" customWidth="1"/>
    <col min="13" max="13" width="13.7109375" style="124" customWidth="1"/>
    <col min="14" max="14" width="10.7109375" style="124" customWidth="1"/>
    <col min="15" max="15" width="13.7109375" style="124" customWidth="1"/>
    <col min="16" max="16" width="10.7109375" style="124" customWidth="1"/>
    <col min="17" max="17" width="13.7109375" style="124" customWidth="1"/>
    <col min="18" max="18" width="10.7109375" style="124" customWidth="1"/>
    <col min="19" max="19" width="13.7109375" style="124" customWidth="1"/>
    <col min="20" max="20" width="10.7109375" style="124" customWidth="1"/>
    <col min="21" max="21" width="13.7109375" style="124" customWidth="1"/>
    <col min="22" max="22" width="10.7109375" style="124" customWidth="1"/>
    <col min="23" max="23" width="13.7109375" style="124" customWidth="1"/>
    <col min="24" max="25" width="10.7109375" style="124" customWidth="1"/>
    <col min="26" max="16384" width="11.42578125" style="124"/>
  </cols>
  <sheetData>
    <row r="1" spans="1:25" ht="19.5" customHeight="1" x14ac:dyDescent="0.2">
      <c r="A1" s="172" t="s">
        <v>137</v>
      </c>
      <c r="B1" s="125"/>
      <c r="D1" s="125"/>
      <c r="E1" s="97"/>
      <c r="F1" s="97"/>
      <c r="G1" s="97"/>
      <c r="H1" s="97"/>
      <c r="I1" s="97"/>
      <c r="J1" s="97"/>
      <c r="K1" s="97"/>
      <c r="L1" s="97"/>
      <c r="M1" s="97"/>
      <c r="N1" s="97"/>
      <c r="O1" s="97"/>
      <c r="P1" s="97"/>
      <c r="Q1" s="97"/>
      <c r="R1" s="97"/>
      <c r="S1" s="97"/>
      <c r="T1" s="97"/>
      <c r="U1" s="97"/>
      <c r="V1" s="97"/>
      <c r="W1" s="97"/>
      <c r="X1" s="97"/>
      <c r="Y1" s="97"/>
    </row>
    <row r="2" spans="1:25" ht="19.5" customHeight="1" x14ac:dyDescent="0.2">
      <c r="A2" s="172" t="s">
        <v>138</v>
      </c>
      <c r="B2" s="125"/>
      <c r="D2" s="125"/>
      <c r="E2" s="97"/>
      <c r="F2" s="97"/>
      <c r="G2" s="97"/>
      <c r="H2" s="97"/>
      <c r="I2" s="97"/>
      <c r="J2" s="97"/>
      <c r="K2" s="97"/>
      <c r="L2" s="97"/>
      <c r="M2" s="97"/>
      <c r="N2" s="97"/>
      <c r="O2" s="97"/>
      <c r="P2" s="97"/>
      <c r="Q2" s="97"/>
      <c r="R2" s="97"/>
      <c r="S2" s="97"/>
      <c r="T2" s="97"/>
      <c r="U2" s="97"/>
      <c r="V2" s="97"/>
      <c r="W2" s="97"/>
      <c r="X2" s="97"/>
      <c r="Y2" s="97"/>
    </row>
    <row r="3" spans="1:25" x14ac:dyDescent="0.2">
      <c r="A3" s="126"/>
      <c r="E3" s="126"/>
      <c r="F3" s="126"/>
      <c r="G3" s="126"/>
      <c r="H3" s="126"/>
      <c r="I3" s="126"/>
      <c r="J3" s="126"/>
      <c r="K3" s="126"/>
      <c r="L3" s="126"/>
      <c r="M3" s="126"/>
      <c r="N3" s="126"/>
      <c r="O3" s="126"/>
      <c r="P3" s="126"/>
      <c r="Q3" s="126"/>
      <c r="R3" s="126"/>
      <c r="S3" s="126"/>
      <c r="T3" s="126"/>
      <c r="U3" s="126"/>
      <c r="V3" s="126"/>
      <c r="W3" s="126"/>
      <c r="X3" s="126"/>
      <c r="Y3" s="126"/>
    </row>
    <row r="4" spans="1:25" ht="15.75" customHeight="1" x14ac:dyDescent="0.2">
      <c r="A4" s="99" t="s">
        <v>174</v>
      </c>
      <c r="B4" s="127"/>
      <c r="D4" s="127"/>
      <c r="E4" s="99"/>
      <c r="F4" s="99"/>
      <c r="G4" s="99"/>
      <c r="H4" s="99"/>
      <c r="I4" s="99"/>
      <c r="J4" s="99"/>
      <c r="K4" s="99"/>
      <c r="L4" s="99"/>
      <c r="M4" s="99"/>
      <c r="N4" s="99"/>
      <c r="O4" s="99"/>
      <c r="P4" s="99"/>
      <c r="Q4" s="99"/>
      <c r="R4" s="99"/>
      <c r="S4" s="99"/>
      <c r="T4" s="99"/>
      <c r="U4" s="99"/>
      <c r="V4" s="99"/>
      <c r="W4" s="99"/>
      <c r="X4" s="99"/>
      <c r="Y4" s="99"/>
    </row>
    <row r="5" spans="1:25" ht="18.75" customHeight="1" x14ac:dyDescent="0.2">
      <c r="A5" s="100" t="s">
        <v>139</v>
      </c>
      <c r="B5" s="128"/>
      <c r="D5" s="128"/>
      <c r="E5" s="100"/>
      <c r="F5" s="100"/>
      <c r="G5" s="100"/>
      <c r="H5" s="100"/>
      <c r="I5" s="100"/>
      <c r="J5" s="100"/>
      <c r="K5" s="100"/>
      <c r="L5" s="100"/>
      <c r="M5" s="100"/>
      <c r="N5" s="100"/>
      <c r="O5" s="100"/>
      <c r="P5" s="100"/>
      <c r="Q5" s="100"/>
      <c r="R5" s="100"/>
      <c r="S5" s="100"/>
      <c r="T5" s="100"/>
      <c r="U5" s="100"/>
      <c r="V5" s="100"/>
      <c r="W5" s="100"/>
      <c r="X5" s="100"/>
      <c r="Y5" s="100"/>
    </row>
    <row r="6" spans="1:25" x14ac:dyDescent="0.2">
      <c r="A6" s="126"/>
      <c r="E6" s="126"/>
      <c r="F6" s="126"/>
      <c r="G6" s="126"/>
      <c r="H6" s="126"/>
      <c r="I6" s="126"/>
      <c r="J6" s="126"/>
      <c r="K6" s="126"/>
      <c r="L6" s="126"/>
      <c r="M6" s="126"/>
      <c r="N6" s="126"/>
      <c r="O6" s="126"/>
      <c r="P6" s="126"/>
      <c r="Q6" s="126"/>
      <c r="R6" s="126"/>
      <c r="S6" s="126"/>
      <c r="T6" s="126"/>
      <c r="U6" s="126"/>
      <c r="V6" s="126"/>
      <c r="W6" s="126"/>
      <c r="X6" s="126"/>
      <c r="Y6" s="126"/>
    </row>
    <row r="7" spans="1:25" ht="56.25" customHeight="1" x14ac:dyDescent="0.2">
      <c r="A7" s="318" t="s">
        <v>320</v>
      </c>
      <c r="B7" s="318"/>
      <c r="C7" s="318"/>
      <c r="D7" s="318"/>
      <c r="E7" s="162"/>
      <c r="F7" s="162"/>
      <c r="G7" s="162"/>
      <c r="H7" s="162"/>
      <c r="I7" s="162"/>
      <c r="J7" s="162"/>
      <c r="K7" s="162"/>
      <c r="L7" s="162"/>
      <c r="M7" s="162"/>
      <c r="N7" s="162"/>
      <c r="O7" s="148"/>
      <c r="P7" s="148"/>
      <c r="Q7" s="148"/>
      <c r="R7" s="148"/>
      <c r="S7" s="148"/>
      <c r="T7" s="148"/>
      <c r="U7" s="148"/>
      <c r="V7" s="148"/>
      <c r="W7" s="148"/>
      <c r="X7" s="148"/>
      <c r="Y7" s="162"/>
    </row>
    <row r="8" spans="1:25" s="129" customFormat="1" x14ac:dyDescent="0.2">
      <c r="A8" s="130"/>
      <c r="B8" s="131"/>
      <c r="C8" s="131"/>
      <c r="D8" s="131"/>
      <c r="E8" s="131"/>
      <c r="F8" s="131"/>
      <c r="G8" s="131"/>
      <c r="H8" s="131"/>
      <c r="I8" s="131"/>
      <c r="J8" s="131"/>
      <c r="K8" s="131"/>
      <c r="L8" s="131"/>
      <c r="M8" s="131"/>
      <c r="N8" s="131"/>
      <c r="O8" s="131"/>
      <c r="P8" s="131"/>
      <c r="Q8" s="131"/>
      <c r="R8" s="131"/>
      <c r="S8" s="131"/>
      <c r="T8" s="131"/>
      <c r="U8" s="131"/>
      <c r="V8" s="131"/>
      <c r="W8" s="131"/>
      <c r="X8" s="131"/>
      <c r="Y8" s="166"/>
    </row>
    <row r="9" spans="1:25" x14ac:dyDescent="0.2">
      <c r="A9" s="132"/>
      <c r="B9" s="133"/>
      <c r="C9" s="319"/>
      <c r="D9" s="320"/>
      <c r="E9" s="299">
        <v>1</v>
      </c>
      <c r="F9" s="299"/>
      <c r="G9" s="299">
        <v>2</v>
      </c>
      <c r="H9" s="299"/>
      <c r="I9" s="299">
        <v>3</v>
      </c>
      <c r="J9" s="299"/>
      <c r="K9" s="299">
        <v>4</v>
      </c>
      <c r="L9" s="299"/>
      <c r="M9" s="299">
        <v>5</v>
      </c>
      <c r="N9" s="299"/>
      <c r="O9" s="299">
        <v>6</v>
      </c>
      <c r="P9" s="299"/>
      <c r="Q9" s="299">
        <v>7</v>
      </c>
      <c r="R9" s="299"/>
      <c r="S9" s="299">
        <v>8</v>
      </c>
      <c r="T9" s="299"/>
      <c r="U9" s="299">
        <v>9</v>
      </c>
      <c r="V9" s="299"/>
      <c r="W9" s="299">
        <v>10</v>
      </c>
      <c r="X9" s="299"/>
      <c r="Y9" s="159"/>
    </row>
    <row r="10" spans="1:25" ht="62.25" customHeight="1" x14ac:dyDescent="0.2">
      <c r="A10" s="289" t="s">
        <v>140</v>
      </c>
      <c r="B10" s="291" t="s">
        <v>118</v>
      </c>
      <c r="C10" s="322" t="s">
        <v>141</v>
      </c>
      <c r="D10" s="323"/>
      <c r="E10" s="300" t="s">
        <v>150</v>
      </c>
      <c r="F10" s="300"/>
      <c r="G10" s="300" t="s">
        <v>149</v>
      </c>
      <c r="H10" s="300"/>
      <c r="I10" s="300" t="s">
        <v>148</v>
      </c>
      <c r="J10" s="300"/>
      <c r="K10" s="300" t="s">
        <v>172</v>
      </c>
      <c r="L10" s="300"/>
      <c r="M10" s="300" t="s">
        <v>175</v>
      </c>
      <c r="N10" s="300"/>
      <c r="O10" s="300" t="s">
        <v>176</v>
      </c>
      <c r="P10" s="300"/>
      <c r="Q10" s="300" t="s">
        <v>177</v>
      </c>
      <c r="R10" s="300"/>
      <c r="S10" s="300" t="s">
        <v>147</v>
      </c>
      <c r="T10" s="300"/>
      <c r="U10" s="300" t="s">
        <v>178</v>
      </c>
      <c r="V10" s="300"/>
      <c r="W10" s="300" t="s">
        <v>179</v>
      </c>
      <c r="X10" s="300"/>
      <c r="Y10" s="167"/>
    </row>
    <row r="11" spans="1:25" ht="25.5" x14ac:dyDescent="0.2">
      <c r="A11" s="290"/>
      <c r="B11" s="292"/>
      <c r="C11" s="123" t="s">
        <v>142</v>
      </c>
      <c r="D11" s="123" t="s">
        <v>108</v>
      </c>
      <c r="E11" s="123" t="s">
        <v>142</v>
      </c>
      <c r="F11" s="123" t="s">
        <v>108</v>
      </c>
      <c r="G11" s="123" t="s">
        <v>142</v>
      </c>
      <c r="H11" s="123" t="s">
        <v>108</v>
      </c>
      <c r="I11" s="123" t="s">
        <v>142</v>
      </c>
      <c r="J11" s="123" t="s">
        <v>108</v>
      </c>
      <c r="K11" s="123" t="s">
        <v>142</v>
      </c>
      <c r="L11" s="123" t="s">
        <v>108</v>
      </c>
      <c r="M11" s="123" t="s">
        <v>142</v>
      </c>
      <c r="N11" s="123" t="s">
        <v>108</v>
      </c>
      <c r="O11" s="123" t="s">
        <v>142</v>
      </c>
      <c r="P11" s="123" t="s">
        <v>108</v>
      </c>
      <c r="Q11" s="123" t="s">
        <v>142</v>
      </c>
      <c r="R11" s="123" t="s">
        <v>108</v>
      </c>
      <c r="S11" s="123" t="s">
        <v>142</v>
      </c>
      <c r="T11" s="123" t="s">
        <v>108</v>
      </c>
      <c r="U11" s="123" t="s">
        <v>142</v>
      </c>
      <c r="V11" s="123" t="s">
        <v>108</v>
      </c>
      <c r="W11" s="123" t="s">
        <v>142</v>
      </c>
      <c r="X11" s="123" t="s">
        <v>108</v>
      </c>
      <c r="Y11" s="160"/>
    </row>
    <row r="12" spans="1:25" x14ac:dyDescent="0.2">
      <c r="A12" s="134"/>
      <c r="B12" s="135"/>
      <c r="C12" s="135"/>
      <c r="D12" s="135"/>
      <c r="E12" s="135"/>
      <c r="F12" s="135"/>
      <c r="G12" s="135"/>
      <c r="H12" s="136"/>
      <c r="I12" s="135"/>
      <c r="J12" s="135"/>
      <c r="K12" s="135"/>
      <c r="L12" s="136"/>
      <c r="M12" s="135"/>
      <c r="N12" s="135"/>
      <c r="O12" s="135"/>
      <c r="P12" s="135"/>
      <c r="Q12" s="135"/>
      <c r="R12" s="135"/>
      <c r="S12" s="135"/>
      <c r="T12" s="135"/>
      <c r="U12" s="135"/>
      <c r="V12" s="135"/>
      <c r="W12" s="135"/>
      <c r="X12" s="135"/>
      <c r="Y12" s="166"/>
    </row>
    <row r="13" spans="1:25" ht="30" customHeight="1" x14ac:dyDescent="0.2">
      <c r="A13" s="321"/>
      <c r="B13" s="137" t="s">
        <v>143</v>
      </c>
      <c r="C13" s="137"/>
      <c r="D13" s="137"/>
      <c r="E13" s="137"/>
      <c r="F13" s="137"/>
      <c r="G13" s="123"/>
      <c r="H13" s="123"/>
      <c r="I13" s="123"/>
      <c r="J13" s="123"/>
      <c r="K13" s="123"/>
      <c r="L13" s="123"/>
      <c r="M13" s="123"/>
      <c r="N13" s="123"/>
      <c r="O13" s="123"/>
      <c r="P13" s="123"/>
      <c r="Q13" s="123"/>
      <c r="R13" s="123"/>
      <c r="S13" s="123"/>
      <c r="T13" s="123"/>
      <c r="U13" s="123"/>
      <c r="V13" s="123"/>
      <c r="W13" s="123"/>
      <c r="X13" s="123"/>
      <c r="Y13" s="160"/>
    </row>
    <row r="14" spans="1:25" ht="47.25" customHeight="1" x14ac:dyDescent="0.2">
      <c r="A14" s="321"/>
      <c r="B14" s="156" t="s">
        <v>144</v>
      </c>
      <c r="C14" s="123" t="s">
        <v>154</v>
      </c>
      <c r="D14" s="123">
        <v>50</v>
      </c>
      <c r="E14" s="123" t="s">
        <v>154</v>
      </c>
      <c r="F14" s="123">
        <v>50</v>
      </c>
      <c r="G14" s="123" t="s">
        <v>154</v>
      </c>
      <c r="H14" s="123">
        <v>50</v>
      </c>
      <c r="I14" s="123" t="s">
        <v>154</v>
      </c>
      <c r="J14" s="123">
        <v>50</v>
      </c>
      <c r="K14" s="123" t="s">
        <v>154</v>
      </c>
      <c r="L14" s="123">
        <v>50</v>
      </c>
      <c r="M14" s="123" t="s">
        <v>154</v>
      </c>
      <c r="N14" s="123">
        <v>50</v>
      </c>
      <c r="O14" s="123" t="s">
        <v>154</v>
      </c>
      <c r="P14" s="123">
        <v>50</v>
      </c>
      <c r="Q14" s="123" t="s">
        <v>154</v>
      </c>
      <c r="R14" s="123">
        <v>50</v>
      </c>
      <c r="S14" s="123" t="s">
        <v>154</v>
      </c>
      <c r="T14" s="123">
        <v>50</v>
      </c>
      <c r="U14" s="123" t="s">
        <v>154</v>
      </c>
      <c r="V14" s="123">
        <v>50</v>
      </c>
      <c r="W14" s="123" t="s">
        <v>154</v>
      </c>
      <c r="X14" s="123">
        <v>50</v>
      </c>
      <c r="Y14" s="160"/>
    </row>
    <row r="15" spans="1:25" ht="54" customHeight="1" x14ac:dyDescent="0.2">
      <c r="A15" s="321"/>
      <c r="B15" s="156" t="s">
        <v>153</v>
      </c>
      <c r="C15" s="123" t="s">
        <v>154</v>
      </c>
      <c r="D15" s="138">
        <v>50</v>
      </c>
      <c r="E15" s="123" t="s">
        <v>154</v>
      </c>
      <c r="F15" s="138">
        <v>50</v>
      </c>
      <c r="G15" s="123" t="s">
        <v>154</v>
      </c>
      <c r="H15" s="138">
        <v>50</v>
      </c>
      <c r="I15" s="123" t="s">
        <v>154</v>
      </c>
      <c r="J15" s="138">
        <v>50</v>
      </c>
      <c r="K15" s="123" t="s">
        <v>154</v>
      </c>
      <c r="L15" s="138">
        <v>50</v>
      </c>
      <c r="M15" s="123" t="s">
        <v>154</v>
      </c>
      <c r="N15" s="138">
        <v>50</v>
      </c>
      <c r="O15" s="123" t="s">
        <v>154</v>
      </c>
      <c r="P15" s="138">
        <v>50</v>
      </c>
      <c r="Q15" s="123" t="s">
        <v>154</v>
      </c>
      <c r="R15" s="138">
        <v>50</v>
      </c>
      <c r="S15" s="123" t="s">
        <v>154</v>
      </c>
      <c r="T15" s="138">
        <v>50</v>
      </c>
      <c r="U15" s="123" t="s">
        <v>154</v>
      </c>
      <c r="V15" s="138">
        <v>50</v>
      </c>
      <c r="W15" s="123" t="s">
        <v>154</v>
      </c>
      <c r="X15" s="138">
        <v>50</v>
      </c>
      <c r="Y15" s="160"/>
    </row>
    <row r="16" spans="1:25" ht="18" customHeight="1" x14ac:dyDescent="0.2">
      <c r="A16" s="132"/>
      <c r="B16" s="140" t="s">
        <v>145</v>
      </c>
      <c r="C16" s="139" t="s">
        <v>146</v>
      </c>
      <c r="D16" s="139">
        <f>SUM(D14:D15)</f>
        <v>100</v>
      </c>
      <c r="E16" s="139"/>
      <c r="F16" s="139">
        <f>SUM(F13:F15)</f>
        <v>100</v>
      </c>
      <c r="G16" s="139"/>
      <c r="H16" s="139">
        <f>SUM(H13:H15)</f>
        <v>100</v>
      </c>
      <c r="I16" s="139"/>
      <c r="J16" s="186">
        <f>SUM(J13:J15)</f>
        <v>100</v>
      </c>
      <c r="K16" s="139"/>
      <c r="L16" s="139">
        <f>SUM(L13:L15)</f>
        <v>100</v>
      </c>
      <c r="M16" s="139"/>
      <c r="N16" s="139">
        <f>SUM(N13:N15)</f>
        <v>100</v>
      </c>
      <c r="O16" s="147"/>
      <c r="P16" s="147">
        <f>SUM(P13:P15)</f>
        <v>100</v>
      </c>
      <c r="Q16" s="147"/>
      <c r="R16" s="147">
        <f>SUM(R13:R15)</f>
        <v>100</v>
      </c>
      <c r="S16" s="147"/>
      <c r="T16" s="147">
        <f>SUM(T13:T15)</f>
        <v>100</v>
      </c>
      <c r="U16" s="147"/>
      <c r="V16" s="147">
        <f>SUM(V13:V15)</f>
        <v>100</v>
      </c>
      <c r="W16" s="147"/>
      <c r="X16" s="147">
        <f>SUM(X13:X15)</f>
        <v>100</v>
      </c>
      <c r="Y16" s="168"/>
    </row>
    <row r="18" spans="1:25" ht="15.75" x14ac:dyDescent="0.2">
      <c r="B18" s="99" t="s">
        <v>129</v>
      </c>
    </row>
    <row r="19" spans="1:25" x14ac:dyDescent="0.2">
      <c r="F19" s="116"/>
      <c r="G19" s="116"/>
      <c r="H19" s="115"/>
      <c r="I19" s="115"/>
      <c r="J19" s="115"/>
      <c r="K19" s="115"/>
    </row>
    <row r="20" spans="1:25" ht="15.75" x14ac:dyDescent="0.2">
      <c r="A20" s="141"/>
      <c r="B20" s="142"/>
      <c r="C20" s="141"/>
      <c r="D20" s="141"/>
      <c r="E20" s="115"/>
      <c r="F20" s="116"/>
      <c r="G20" s="116"/>
      <c r="H20" s="115"/>
      <c r="I20" s="115"/>
      <c r="J20" s="115"/>
      <c r="K20" s="115"/>
      <c r="L20" s="141"/>
      <c r="M20" s="141"/>
      <c r="N20" s="141"/>
      <c r="O20" s="141"/>
      <c r="P20" s="141"/>
      <c r="Q20" s="141"/>
      <c r="R20" s="141"/>
      <c r="S20" s="141"/>
      <c r="T20" s="141"/>
      <c r="U20" s="141"/>
      <c r="V20" s="141"/>
      <c r="W20" s="141"/>
      <c r="X20" s="141"/>
      <c r="Y20" s="141"/>
    </row>
    <row r="21" spans="1:25" ht="15.75" x14ac:dyDescent="0.2">
      <c r="A21" s="120"/>
      <c r="B21" s="142"/>
      <c r="C21" s="143"/>
      <c r="D21" s="143"/>
      <c r="E21" s="115"/>
      <c r="F21" s="116"/>
      <c r="G21" s="116"/>
      <c r="H21" s="115"/>
      <c r="I21" s="115"/>
      <c r="J21" s="115"/>
      <c r="K21" s="115"/>
      <c r="L21" s="143"/>
      <c r="M21" s="143"/>
      <c r="N21" s="143"/>
      <c r="O21" s="143"/>
      <c r="P21" s="143"/>
      <c r="Q21" s="143"/>
      <c r="R21" s="143"/>
      <c r="S21" s="143"/>
      <c r="T21" s="143"/>
      <c r="U21" s="143"/>
      <c r="V21" s="143"/>
      <c r="W21" s="143"/>
      <c r="X21" s="143"/>
      <c r="Y21" s="143"/>
    </row>
    <row r="22" spans="1:25" ht="15.75" x14ac:dyDescent="0.25">
      <c r="A22" s="144"/>
      <c r="B22" s="118" t="s">
        <v>130</v>
      </c>
      <c r="C22" s="119"/>
      <c r="D22" s="119"/>
      <c r="E22" s="115"/>
      <c r="F22" s="116"/>
      <c r="G22" s="116"/>
      <c r="H22" s="115"/>
      <c r="I22" s="115"/>
      <c r="J22" s="115"/>
      <c r="K22" s="115"/>
      <c r="L22" s="119"/>
      <c r="M22" s="119"/>
      <c r="N22" s="119"/>
      <c r="O22" s="119"/>
      <c r="P22" s="119"/>
      <c r="Q22" s="119"/>
      <c r="R22" s="119"/>
      <c r="S22" s="119"/>
      <c r="T22" s="119"/>
      <c r="U22" s="119"/>
      <c r="V22" s="119"/>
      <c r="W22" s="119"/>
      <c r="X22" s="119"/>
      <c r="Y22" s="119"/>
    </row>
    <row r="23" spans="1:25" ht="15.75" x14ac:dyDescent="0.25">
      <c r="A23" s="144"/>
      <c r="B23" s="119" t="s">
        <v>169</v>
      </c>
      <c r="C23" s="119"/>
      <c r="D23" s="119"/>
      <c r="E23" s="115"/>
      <c r="F23" s="116"/>
      <c r="G23" s="116"/>
      <c r="H23" s="115"/>
      <c r="I23" s="115"/>
      <c r="J23" s="115"/>
      <c r="K23" s="115"/>
      <c r="L23" s="119"/>
      <c r="M23" s="119"/>
      <c r="N23" s="119"/>
      <c r="O23" s="119"/>
      <c r="P23" s="119"/>
      <c r="Q23" s="119"/>
      <c r="R23" s="119"/>
      <c r="S23" s="119"/>
      <c r="T23" s="119"/>
      <c r="U23" s="119"/>
      <c r="V23" s="119"/>
      <c r="W23" s="119"/>
      <c r="X23" s="119"/>
      <c r="Y23" s="119"/>
    </row>
    <row r="24" spans="1:25" ht="15.75" x14ac:dyDescent="0.25">
      <c r="A24" s="144"/>
      <c r="B24" s="119"/>
      <c r="C24" s="119"/>
      <c r="D24" s="119"/>
      <c r="E24" s="118"/>
      <c r="F24" s="116"/>
      <c r="H24" s="118"/>
      <c r="J24" s="115"/>
      <c r="K24" s="118"/>
      <c r="L24" s="119"/>
      <c r="N24" s="119"/>
      <c r="O24" s="118"/>
      <c r="P24" s="119"/>
      <c r="Q24" s="118"/>
      <c r="R24" s="119"/>
      <c r="S24" s="118"/>
      <c r="T24" s="119"/>
      <c r="U24" s="118"/>
      <c r="V24" s="119"/>
      <c r="W24" s="118"/>
      <c r="X24" s="119"/>
      <c r="Y24" s="119"/>
    </row>
    <row r="25" spans="1:25" ht="15.75" x14ac:dyDescent="0.25">
      <c r="A25" s="118"/>
      <c r="B25" s="119"/>
      <c r="C25" s="119"/>
      <c r="D25" s="119"/>
      <c r="E25" s="119"/>
      <c r="F25" s="116"/>
      <c r="H25" s="119"/>
      <c r="J25" s="115"/>
      <c r="K25" s="98"/>
      <c r="L25" s="119"/>
      <c r="N25" s="119"/>
      <c r="O25" s="119"/>
      <c r="P25" s="119"/>
      <c r="Q25" s="119"/>
      <c r="R25" s="119"/>
      <c r="S25" s="119"/>
      <c r="T25" s="119"/>
      <c r="U25" s="119"/>
      <c r="V25" s="119"/>
      <c r="W25" s="119"/>
      <c r="X25" s="119"/>
      <c r="Y25" s="119"/>
    </row>
    <row r="26" spans="1:25" ht="15.75" x14ac:dyDescent="0.25">
      <c r="A26" s="119"/>
      <c r="B26" s="118" t="s">
        <v>170</v>
      </c>
      <c r="C26" s="121"/>
      <c r="D26" s="121"/>
      <c r="E26" s="119"/>
      <c r="F26" s="116"/>
      <c r="G26" s="116"/>
      <c r="H26" s="119"/>
      <c r="I26" s="119"/>
      <c r="J26" s="119"/>
      <c r="K26" s="119"/>
      <c r="L26" s="121"/>
      <c r="M26" s="121"/>
      <c r="N26" s="121"/>
      <c r="O26" s="121"/>
      <c r="P26" s="121"/>
      <c r="Q26" s="121"/>
      <c r="R26" s="121"/>
      <c r="S26" s="121"/>
      <c r="T26" s="121"/>
      <c r="U26" s="121"/>
      <c r="V26" s="121"/>
      <c r="W26" s="121"/>
      <c r="X26" s="121"/>
      <c r="Y26" s="121"/>
    </row>
    <row r="27" spans="1:25" ht="15.75" x14ac:dyDescent="0.25">
      <c r="B27" s="119" t="s">
        <v>131</v>
      </c>
      <c r="C27" s="103"/>
      <c r="D27" s="103"/>
      <c r="E27" s="119"/>
      <c r="F27" s="121"/>
      <c r="G27" s="121"/>
      <c r="H27" s="115"/>
      <c r="I27" s="115"/>
      <c r="J27" s="115"/>
      <c r="K27" s="115"/>
      <c r="L27" s="103"/>
      <c r="M27" s="103"/>
      <c r="N27" s="103"/>
      <c r="O27" s="103"/>
      <c r="P27" s="103"/>
      <c r="Q27" s="103"/>
      <c r="R27" s="103"/>
      <c r="S27" s="103"/>
      <c r="T27" s="103"/>
      <c r="U27" s="103"/>
      <c r="V27" s="103"/>
      <c r="W27" s="103"/>
      <c r="X27" s="103"/>
      <c r="Y27" s="103"/>
    </row>
    <row r="28" spans="1:25" ht="15.75" x14ac:dyDescent="0.25">
      <c r="B28" s="103"/>
      <c r="C28" s="103"/>
      <c r="D28" s="103"/>
      <c r="E28" s="119"/>
      <c r="F28" s="121"/>
      <c r="G28" s="121"/>
      <c r="H28" s="115"/>
      <c r="I28" s="115"/>
      <c r="J28" s="115"/>
      <c r="K28" s="115"/>
      <c r="L28" s="103"/>
      <c r="M28" s="103"/>
      <c r="N28" s="103"/>
      <c r="O28" s="103"/>
      <c r="P28" s="103"/>
      <c r="Q28" s="103"/>
      <c r="R28" s="103"/>
      <c r="S28" s="103"/>
      <c r="T28" s="103"/>
      <c r="U28" s="103"/>
      <c r="V28" s="103"/>
      <c r="W28" s="103"/>
      <c r="X28" s="103"/>
      <c r="Y28" s="103"/>
    </row>
    <row r="29" spans="1:25" ht="15.75" x14ac:dyDescent="0.25">
      <c r="B29" s="103"/>
      <c r="C29" s="103"/>
      <c r="D29" s="103"/>
      <c r="E29" s="119"/>
      <c r="F29" s="121"/>
      <c r="G29" s="121"/>
      <c r="H29" s="119"/>
      <c r="I29" s="119"/>
      <c r="J29" s="119"/>
      <c r="K29" s="119"/>
      <c r="L29" s="103"/>
      <c r="M29" s="103"/>
      <c r="N29" s="103"/>
      <c r="O29" s="103"/>
      <c r="P29" s="103"/>
      <c r="Q29" s="103"/>
      <c r="R29" s="103"/>
      <c r="S29" s="103"/>
      <c r="T29" s="103"/>
      <c r="U29" s="103"/>
      <c r="V29" s="103"/>
      <c r="W29" s="103"/>
      <c r="X29" s="103"/>
      <c r="Y29" s="103"/>
    </row>
    <row r="30" spans="1:25" ht="15.75" x14ac:dyDescent="0.2">
      <c r="B30" s="118" t="s">
        <v>132</v>
      </c>
      <c r="C30" s="116"/>
      <c r="D30" s="116"/>
      <c r="F30" s="118"/>
      <c r="G30" s="118"/>
      <c r="H30" s="118"/>
      <c r="I30" s="118"/>
      <c r="J30" s="118"/>
      <c r="K30" s="118"/>
      <c r="L30" s="116"/>
      <c r="M30" s="116"/>
      <c r="N30" s="116"/>
      <c r="O30" s="116"/>
      <c r="P30" s="116"/>
      <c r="Q30" s="116"/>
      <c r="R30" s="116"/>
      <c r="S30" s="116"/>
      <c r="T30" s="116"/>
      <c r="U30" s="116"/>
      <c r="V30" s="116"/>
      <c r="W30" s="116"/>
      <c r="X30" s="116"/>
      <c r="Y30" s="116"/>
    </row>
    <row r="31" spans="1:25" ht="15.75" x14ac:dyDescent="0.25">
      <c r="B31" s="119" t="s">
        <v>133</v>
      </c>
      <c r="F31" s="121"/>
      <c r="G31" s="121"/>
      <c r="H31" s="119"/>
      <c r="I31" s="119"/>
      <c r="J31" s="119"/>
      <c r="K31" s="119"/>
    </row>
    <row r="32" spans="1:25" ht="15.75" x14ac:dyDescent="0.25">
      <c r="B32" s="119" t="s">
        <v>134</v>
      </c>
      <c r="F32" s="121"/>
      <c r="G32" s="121"/>
      <c r="H32" s="119"/>
      <c r="I32" s="119"/>
      <c r="J32" s="119"/>
      <c r="K32" s="119"/>
    </row>
  </sheetData>
  <mergeCells count="26">
    <mergeCell ref="W9:X9"/>
    <mergeCell ref="W10:X10"/>
    <mergeCell ref="A13:A15"/>
    <mergeCell ref="O9:P9"/>
    <mergeCell ref="O10:P10"/>
    <mergeCell ref="Q9:R9"/>
    <mergeCell ref="Q10:R10"/>
    <mergeCell ref="A10:A11"/>
    <mergeCell ref="B10:B11"/>
    <mergeCell ref="C10:D10"/>
    <mergeCell ref="E10:F10"/>
    <mergeCell ref="G10:H10"/>
    <mergeCell ref="I10:J10"/>
    <mergeCell ref="K10:L10"/>
    <mergeCell ref="M10:N10"/>
    <mergeCell ref="M9:N9"/>
    <mergeCell ref="A7:D7"/>
    <mergeCell ref="S9:T9"/>
    <mergeCell ref="S10:T10"/>
    <mergeCell ref="U9:V9"/>
    <mergeCell ref="U10:V10"/>
    <mergeCell ref="C9:D9"/>
    <mergeCell ref="E9:F9"/>
    <mergeCell ref="G9:H9"/>
    <mergeCell ref="I9:J9"/>
    <mergeCell ref="K9:L9"/>
  </mergeCells>
  <conditionalFormatting sqref="D14:D15 K14:N15 F14:F15 Y14:Y15">
    <cfRule type="cellIs" dxfId="69" priority="45" operator="equal">
      <formula>"NO"</formula>
    </cfRule>
  </conditionalFormatting>
  <conditionalFormatting sqref="O14:P15">
    <cfRule type="cellIs" dxfId="68" priority="43" operator="equal">
      <formula>"NO"</formula>
    </cfRule>
  </conditionalFormatting>
  <conditionalFormatting sqref="Q14:R15">
    <cfRule type="cellIs" dxfId="67" priority="42" operator="equal">
      <formula>"NO"</formula>
    </cfRule>
  </conditionalFormatting>
  <conditionalFormatting sqref="I14:J15">
    <cfRule type="cellIs" dxfId="66" priority="41" operator="equal">
      <formula>"NO"</formula>
    </cfRule>
  </conditionalFormatting>
  <conditionalFormatting sqref="G14:H15">
    <cfRule type="cellIs" dxfId="65" priority="40" operator="equal">
      <formula>"NO"</formula>
    </cfRule>
  </conditionalFormatting>
  <conditionalFormatting sqref="E14:E15">
    <cfRule type="cellIs" dxfId="64" priority="39" operator="equal">
      <formula>"NO"</formula>
    </cfRule>
  </conditionalFormatting>
  <conditionalFormatting sqref="C14:C15">
    <cfRule type="cellIs" dxfId="63" priority="38" operator="equal">
      <formula>"NO"</formula>
    </cfRule>
  </conditionalFormatting>
  <conditionalFormatting sqref="S14:T15">
    <cfRule type="cellIs" dxfId="62" priority="37" operator="equal">
      <formula>"NO"</formula>
    </cfRule>
  </conditionalFormatting>
  <conditionalFormatting sqref="U14:V15">
    <cfRule type="cellIs" dxfId="61" priority="36" operator="equal">
      <formula>"NO"</formula>
    </cfRule>
  </conditionalFormatting>
  <conditionalFormatting sqref="W14:X15">
    <cfRule type="cellIs" dxfId="60" priority="35" operator="equal">
      <formula>"NO"</formula>
    </cfRule>
  </conditionalFormatting>
  <pageMargins left="0.70866141732283472" right="0.70866141732283472" top="0.74803149606299213" bottom="0.74803149606299213" header="0.31496062992125984" footer="0.31496062992125984"/>
  <pageSetup paperSize="9" scale="40"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M90"/>
  <sheetViews>
    <sheetView zoomScale="80" zoomScaleNormal="80" workbookViewId="0">
      <pane xSplit="4" ySplit="7" topLeftCell="E62" activePane="bottomRight" state="frozen"/>
      <selection pane="topRight" activeCell="E1" sqref="E1"/>
      <selection pane="bottomLeft" activeCell="A8" sqref="A8"/>
      <selection pane="bottomRight" activeCell="Z69" sqref="Z69"/>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 style="1"/>
    <col min="8" max="8" width="15.28515625" style="1" bestFit="1" customWidth="1"/>
    <col min="9" max="9" width="16.85546875" style="1" customWidth="1"/>
    <col min="10" max="10" width="15" style="1"/>
    <col min="11" max="11" width="15.28515625" style="1" bestFit="1" customWidth="1"/>
    <col min="12" max="12" width="16.85546875" style="1" customWidth="1"/>
    <col min="13" max="13" width="15" style="1"/>
    <col min="14" max="14" width="15.28515625" style="1" bestFit="1" customWidth="1"/>
    <col min="15" max="15" width="16.85546875" style="1" customWidth="1"/>
    <col min="16" max="16" width="15" style="1"/>
    <col min="17" max="17" width="15.28515625" style="1" bestFit="1" customWidth="1"/>
    <col min="18" max="18" width="16.85546875" style="1" customWidth="1"/>
    <col min="19" max="19" width="15" style="1"/>
    <col min="20" max="20" width="15.28515625" style="1" bestFit="1" customWidth="1"/>
    <col min="21" max="21" width="16.85546875" style="1" customWidth="1"/>
    <col min="22" max="22" width="15" style="1"/>
    <col min="23" max="23" width="15.28515625" style="1" bestFit="1" customWidth="1"/>
    <col min="24" max="24" width="16.85546875" style="1" customWidth="1"/>
    <col min="25" max="25" width="15" style="1"/>
    <col min="26" max="26" width="15.28515625" style="1" bestFit="1" customWidth="1"/>
    <col min="27" max="27" width="16.85546875" style="1" customWidth="1"/>
    <col min="28" max="28" width="15" style="1"/>
    <col min="29" max="29" width="15.28515625" style="1" bestFit="1" customWidth="1"/>
    <col min="30" max="30" width="16.85546875" style="1" customWidth="1"/>
    <col min="31" max="31" width="15" style="1"/>
    <col min="32" max="32" width="15.28515625" style="1" bestFit="1" customWidth="1"/>
    <col min="33" max="33" width="16.85546875" style="1" customWidth="1"/>
    <col min="34" max="34" width="15" style="1"/>
    <col min="35" max="35" width="15.28515625" style="1" bestFit="1" customWidth="1"/>
    <col min="36" max="36" width="16.85546875" style="1" customWidth="1"/>
    <col min="37" max="37" width="15" style="1"/>
    <col min="38" max="38" width="16.7109375" style="1" bestFit="1" customWidth="1"/>
    <col min="39" max="16384" width="15" style="1"/>
  </cols>
  <sheetData>
    <row r="1" spans="1:36" x14ac:dyDescent="0.25">
      <c r="A1" s="333" t="s">
        <v>87</v>
      </c>
      <c r="B1" s="333"/>
      <c r="C1" s="333"/>
      <c r="D1" s="333"/>
      <c r="E1" s="333"/>
      <c r="F1" s="333"/>
    </row>
    <row r="2" spans="1:36" x14ac:dyDescent="0.25">
      <c r="A2" s="333" t="s">
        <v>171</v>
      </c>
      <c r="B2" s="333"/>
      <c r="C2" s="333"/>
      <c r="D2" s="333"/>
      <c r="E2" s="333"/>
      <c r="F2" s="333"/>
    </row>
    <row r="3" spans="1:36" ht="18" customHeight="1" x14ac:dyDescent="0.25">
      <c r="A3" s="334" t="s">
        <v>215</v>
      </c>
      <c r="B3" s="334"/>
      <c r="C3" s="334"/>
      <c r="D3" s="334"/>
      <c r="E3" s="334"/>
      <c r="F3" s="334"/>
      <c r="G3" s="324" t="s">
        <v>150</v>
      </c>
      <c r="H3" s="325"/>
      <c r="I3" s="326"/>
      <c r="J3" s="324" t="s">
        <v>149</v>
      </c>
      <c r="K3" s="325"/>
      <c r="L3" s="326"/>
      <c r="M3" s="324" t="s">
        <v>148</v>
      </c>
      <c r="N3" s="325"/>
      <c r="O3" s="326"/>
      <c r="P3" s="324" t="s">
        <v>172</v>
      </c>
      <c r="Q3" s="325"/>
      <c r="R3" s="326"/>
      <c r="S3" s="324" t="s">
        <v>175</v>
      </c>
      <c r="T3" s="325"/>
      <c r="U3" s="326"/>
      <c r="V3" s="324" t="s">
        <v>176</v>
      </c>
      <c r="W3" s="325"/>
      <c r="X3" s="326"/>
      <c r="Y3" s="324" t="s">
        <v>177</v>
      </c>
      <c r="Z3" s="325"/>
      <c r="AA3" s="326"/>
      <c r="AB3" s="324" t="s">
        <v>147</v>
      </c>
      <c r="AC3" s="325"/>
      <c r="AD3" s="326"/>
      <c r="AE3" s="324" t="s">
        <v>178</v>
      </c>
      <c r="AF3" s="325"/>
      <c r="AG3" s="326"/>
      <c r="AH3" s="324" t="s">
        <v>179</v>
      </c>
      <c r="AI3" s="325"/>
      <c r="AJ3" s="326"/>
    </row>
    <row r="4" spans="1:36" ht="59.25" customHeight="1" x14ac:dyDescent="0.25">
      <c r="A4" s="334"/>
      <c r="B4" s="334"/>
      <c r="C4" s="334"/>
      <c r="D4" s="334"/>
      <c r="E4" s="334"/>
      <c r="F4" s="334"/>
      <c r="G4" s="327"/>
      <c r="H4" s="328"/>
      <c r="I4" s="329"/>
      <c r="J4" s="327"/>
      <c r="K4" s="328"/>
      <c r="L4" s="329"/>
      <c r="M4" s="327"/>
      <c r="N4" s="328"/>
      <c r="O4" s="329"/>
      <c r="P4" s="327"/>
      <c r="Q4" s="328"/>
      <c r="R4" s="329"/>
      <c r="S4" s="327"/>
      <c r="T4" s="328"/>
      <c r="U4" s="329"/>
      <c r="V4" s="327"/>
      <c r="W4" s="328"/>
      <c r="X4" s="329"/>
      <c r="Y4" s="327"/>
      <c r="Z4" s="328"/>
      <c r="AA4" s="329"/>
      <c r="AB4" s="327"/>
      <c r="AC4" s="328"/>
      <c r="AD4" s="329"/>
      <c r="AE4" s="327"/>
      <c r="AF4" s="328"/>
      <c r="AG4" s="329"/>
      <c r="AH4" s="327"/>
      <c r="AI4" s="328"/>
      <c r="AJ4" s="329"/>
    </row>
    <row r="5" spans="1:36" x14ac:dyDescent="0.25">
      <c r="A5" s="334"/>
      <c r="B5" s="334"/>
      <c r="C5" s="334"/>
      <c r="D5" s="334"/>
      <c r="E5" s="334"/>
      <c r="F5" s="334"/>
      <c r="G5" s="330">
        <v>1</v>
      </c>
      <c r="H5" s="330"/>
      <c r="I5" s="330"/>
      <c r="J5" s="330">
        <v>2</v>
      </c>
      <c r="K5" s="330"/>
      <c r="L5" s="330"/>
      <c r="M5" s="330">
        <v>3</v>
      </c>
      <c r="N5" s="330"/>
      <c r="O5" s="330"/>
      <c r="P5" s="330">
        <v>4</v>
      </c>
      <c r="Q5" s="330"/>
      <c r="R5" s="330"/>
      <c r="S5" s="330">
        <v>5</v>
      </c>
      <c r="T5" s="330"/>
      <c r="U5" s="330"/>
      <c r="V5" s="330">
        <v>6</v>
      </c>
      <c r="W5" s="330"/>
      <c r="X5" s="330"/>
      <c r="Y5" s="330">
        <v>7</v>
      </c>
      <c r="Z5" s="330"/>
      <c r="AA5" s="330"/>
      <c r="AB5" s="330">
        <v>8</v>
      </c>
      <c r="AC5" s="330"/>
      <c r="AD5" s="330"/>
      <c r="AE5" s="330">
        <v>9</v>
      </c>
      <c r="AF5" s="330"/>
      <c r="AG5" s="330"/>
      <c r="AH5" s="330">
        <v>10</v>
      </c>
      <c r="AI5" s="330"/>
      <c r="AJ5" s="330"/>
    </row>
    <row r="6" spans="1:36" ht="15" customHeight="1" x14ac:dyDescent="0.25">
      <c r="A6" s="335" t="s">
        <v>66</v>
      </c>
      <c r="B6" s="335"/>
      <c r="C6" s="335"/>
      <c r="D6" s="335"/>
      <c r="E6" s="335"/>
      <c r="F6" s="335"/>
      <c r="G6" s="331" t="s">
        <v>64</v>
      </c>
      <c r="H6" s="331" t="s">
        <v>65</v>
      </c>
      <c r="I6" s="50" t="s">
        <v>91</v>
      </c>
      <c r="J6" s="331" t="s">
        <v>64</v>
      </c>
      <c r="K6" s="331" t="s">
        <v>65</v>
      </c>
      <c r="L6" s="163" t="s">
        <v>91</v>
      </c>
      <c r="M6" s="331" t="s">
        <v>64</v>
      </c>
      <c r="N6" s="331" t="s">
        <v>65</v>
      </c>
      <c r="O6" s="163" t="s">
        <v>91</v>
      </c>
      <c r="P6" s="331" t="s">
        <v>64</v>
      </c>
      <c r="Q6" s="331" t="s">
        <v>65</v>
      </c>
      <c r="R6" s="163" t="s">
        <v>91</v>
      </c>
      <c r="S6" s="331" t="s">
        <v>64</v>
      </c>
      <c r="T6" s="331" t="s">
        <v>65</v>
      </c>
      <c r="U6" s="163" t="s">
        <v>91</v>
      </c>
      <c r="V6" s="331" t="s">
        <v>64</v>
      </c>
      <c r="W6" s="331" t="s">
        <v>65</v>
      </c>
      <c r="X6" s="163" t="s">
        <v>91</v>
      </c>
      <c r="Y6" s="331" t="s">
        <v>64</v>
      </c>
      <c r="Z6" s="331" t="s">
        <v>65</v>
      </c>
      <c r="AA6" s="163" t="s">
        <v>91</v>
      </c>
      <c r="AB6" s="331" t="s">
        <v>64</v>
      </c>
      <c r="AC6" s="331" t="s">
        <v>65</v>
      </c>
      <c r="AD6" s="163" t="s">
        <v>91</v>
      </c>
      <c r="AE6" s="331" t="s">
        <v>64</v>
      </c>
      <c r="AF6" s="331" t="s">
        <v>65</v>
      </c>
      <c r="AG6" s="163" t="s">
        <v>91</v>
      </c>
      <c r="AH6" s="331" t="s">
        <v>64</v>
      </c>
      <c r="AI6" s="331" t="s">
        <v>65</v>
      </c>
      <c r="AJ6" s="163" t="s">
        <v>91</v>
      </c>
    </row>
    <row r="7" spans="1:36" x14ac:dyDescent="0.25">
      <c r="A7" s="2" t="s">
        <v>0</v>
      </c>
      <c r="B7" s="2" t="s">
        <v>67</v>
      </c>
      <c r="C7" s="2" t="s">
        <v>4</v>
      </c>
      <c r="D7" s="2" t="s">
        <v>1</v>
      </c>
      <c r="E7" s="2" t="s">
        <v>64</v>
      </c>
      <c r="F7" s="2" t="s">
        <v>65</v>
      </c>
      <c r="G7" s="332"/>
      <c r="H7" s="332"/>
      <c r="I7" s="51" t="s">
        <v>92</v>
      </c>
      <c r="J7" s="332"/>
      <c r="K7" s="332"/>
      <c r="L7" s="164" t="s">
        <v>92</v>
      </c>
      <c r="M7" s="332"/>
      <c r="N7" s="332"/>
      <c r="O7" s="164" t="s">
        <v>92</v>
      </c>
      <c r="P7" s="332"/>
      <c r="Q7" s="332"/>
      <c r="R7" s="164" t="s">
        <v>92</v>
      </c>
      <c r="S7" s="332"/>
      <c r="T7" s="332"/>
      <c r="U7" s="164" t="s">
        <v>92</v>
      </c>
      <c r="V7" s="332"/>
      <c r="W7" s="332"/>
      <c r="X7" s="164" t="s">
        <v>92</v>
      </c>
      <c r="Y7" s="332"/>
      <c r="Z7" s="332"/>
      <c r="AA7" s="164" t="s">
        <v>92</v>
      </c>
      <c r="AB7" s="332"/>
      <c r="AC7" s="332"/>
      <c r="AD7" s="164" t="s">
        <v>92</v>
      </c>
      <c r="AE7" s="332"/>
      <c r="AF7" s="332"/>
      <c r="AG7" s="164" t="s">
        <v>92</v>
      </c>
      <c r="AH7" s="332"/>
      <c r="AI7" s="332"/>
      <c r="AJ7" s="164" t="s">
        <v>92</v>
      </c>
    </row>
    <row r="8" spans="1:36" x14ac:dyDescent="0.25">
      <c r="A8" s="2">
        <v>1</v>
      </c>
      <c r="B8" s="3" t="s">
        <v>216</v>
      </c>
      <c r="C8" s="2"/>
      <c r="D8" s="2"/>
      <c r="E8" s="2"/>
      <c r="F8" s="2"/>
      <c r="G8" s="49"/>
      <c r="H8" s="49"/>
      <c r="I8" s="15"/>
      <c r="J8" s="165"/>
      <c r="K8" s="165"/>
      <c r="L8" s="15"/>
      <c r="M8" s="165"/>
      <c r="N8" s="165"/>
      <c r="O8" s="15"/>
      <c r="P8" s="165"/>
      <c r="Q8" s="165"/>
      <c r="R8" s="15"/>
      <c r="S8" s="165"/>
      <c r="T8" s="165"/>
      <c r="U8" s="15"/>
      <c r="V8" s="165"/>
      <c r="W8" s="165"/>
      <c r="X8" s="15"/>
      <c r="Y8" s="165"/>
      <c r="Z8" s="165"/>
      <c r="AA8" s="15"/>
      <c r="AB8" s="165"/>
      <c r="AC8" s="165"/>
      <c r="AD8" s="15"/>
      <c r="AE8" s="165"/>
      <c r="AF8" s="165"/>
      <c r="AG8" s="15"/>
      <c r="AH8" s="165"/>
      <c r="AI8" s="165"/>
      <c r="AJ8" s="15"/>
    </row>
    <row r="9" spans="1:36" ht="114.75" x14ac:dyDescent="0.25">
      <c r="A9" s="15" t="s">
        <v>217</v>
      </c>
      <c r="B9" s="16" t="s">
        <v>218</v>
      </c>
      <c r="C9" s="15" t="s">
        <v>4</v>
      </c>
      <c r="D9" s="173">
        <v>1</v>
      </c>
      <c r="E9" s="18">
        <v>1900000</v>
      </c>
      <c r="F9" s="17">
        <f>ROUND(D9*E9,0)</f>
        <v>1900000</v>
      </c>
      <c r="G9" s="18">
        <v>1889151</v>
      </c>
      <c r="H9" s="17">
        <f>ROUND($D9*G9,0)</f>
        <v>1889151</v>
      </c>
      <c r="I9" s="52" t="str">
        <f>+IF(G9&lt;=$E9,"OK","NO OK")</f>
        <v>OK</v>
      </c>
      <c r="J9" s="18">
        <v>1900000</v>
      </c>
      <c r="K9" s="17">
        <f t="shared" ref="K9" si="0">ROUND($D9*J9,0)</f>
        <v>1900000</v>
      </c>
      <c r="L9" s="52" t="str">
        <f>+IF(J9&lt;=$E9,"OK","NO OK")</f>
        <v>OK</v>
      </c>
      <c r="M9" s="18">
        <v>1883945</v>
      </c>
      <c r="N9" s="17">
        <f t="shared" ref="N9" si="1">ROUND($D9*M9,0)</f>
        <v>1883945</v>
      </c>
      <c r="O9" s="52" t="str">
        <f>+IF(M9&lt;=$E9,"OK","NO OK")</f>
        <v>OK</v>
      </c>
      <c r="P9" s="18">
        <v>1880050</v>
      </c>
      <c r="Q9" s="17">
        <f t="shared" ref="Q9" si="2">ROUND($D9*P9,0)</f>
        <v>1880050</v>
      </c>
      <c r="R9" s="52" t="str">
        <f>+IF(P9&lt;=$E9,"OK","NO OK")</f>
        <v>OK</v>
      </c>
      <c r="S9" s="18">
        <v>1890405</v>
      </c>
      <c r="T9" s="17">
        <f t="shared" ref="T9" si="3">ROUND($D9*S9,0)</f>
        <v>1890405</v>
      </c>
      <c r="U9" s="52" t="str">
        <f>+IF(S9&lt;=$E9,"OK","NO OK")</f>
        <v>OK</v>
      </c>
      <c r="V9" s="18">
        <v>1880000</v>
      </c>
      <c r="W9" s="17">
        <f t="shared" ref="W9" si="4">ROUND($D9*V9,0)</f>
        <v>1880000</v>
      </c>
      <c r="X9" s="52" t="str">
        <f>+IF(V9&lt;=$E9,"OK","NO OK")</f>
        <v>OK</v>
      </c>
      <c r="Y9" s="18">
        <v>1886890</v>
      </c>
      <c r="Z9" s="17">
        <f t="shared" ref="Z9" si="5">ROUND($D9*Y9,0)</f>
        <v>1886890</v>
      </c>
      <c r="AA9" s="52" t="str">
        <f>+IF(Y9&lt;=$E9,"OK","NO OK")</f>
        <v>OK</v>
      </c>
      <c r="AB9" s="18">
        <v>1900000</v>
      </c>
      <c r="AC9" s="17">
        <f t="shared" ref="AC9" si="6">ROUND($D9*AB9,0)</f>
        <v>1900000</v>
      </c>
      <c r="AD9" s="52" t="str">
        <f>+IF(AB9&lt;=$E9,"OK","NO OK")</f>
        <v>OK</v>
      </c>
      <c r="AE9" s="18">
        <v>1889360</v>
      </c>
      <c r="AF9" s="17">
        <f t="shared" ref="AF9" si="7">ROUND($D9*AE9,0)</f>
        <v>1889360</v>
      </c>
      <c r="AG9" s="52" t="str">
        <f>+IF(AE9&lt;=$E9,"OK","NO OK")</f>
        <v>OK</v>
      </c>
      <c r="AH9" s="18">
        <v>1889740</v>
      </c>
      <c r="AI9" s="17">
        <f t="shared" ref="AI9" si="8">ROUND($D9*AH9,0)</f>
        <v>1889740</v>
      </c>
      <c r="AJ9" s="52" t="str">
        <f>+IF(AH9&lt;=$E9,"OK","NO OK")</f>
        <v>OK</v>
      </c>
    </row>
    <row r="10" spans="1:36" ht="114.75" x14ac:dyDescent="0.25">
      <c r="A10" s="15" t="s">
        <v>219</v>
      </c>
      <c r="B10" s="16" t="s">
        <v>220</v>
      </c>
      <c r="C10" s="15" t="s">
        <v>4</v>
      </c>
      <c r="D10" s="173">
        <v>2</v>
      </c>
      <c r="E10" s="18">
        <v>1900000</v>
      </c>
      <c r="F10" s="17">
        <f t="shared" ref="F10:F59" si="9">ROUND(D10*E10,0)</f>
        <v>3800000</v>
      </c>
      <c r="G10" s="18">
        <v>1889151</v>
      </c>
      <c r="H10" s="17">
        <f t="shared" ref="H10:H59" si="10">ROUND($D10*G10,0)</f>
        <v>3778302</v>
      </c>
      <c r="I10" s="52" t="str">
        <f t="shared" ref="I10:I59" si="11">+IF(G10&lt;=$E10,"OK","NO OK")</f>
        <v>OK</v>
      </c>
      <c r="J10" s="18">
        <v>1900000</v>
      </c>
      <c r="K10" s="17">
        <f t="shared" ref="K10:K11" si="12">ROUND($D10*J10,0)</f>
        <v>3800000</v>
      </c>
      <c r="L10" s="52" t="str">
        <f>+IF(J10&lt;=$E10,"OK","NO OK")</f>
        <v>OK</v>
      </c>
      <c r="M10" s="18">
        <v>1883945</v>
      </c>
      <c r="N10" s="17">
        <f t="shared" ref="N10:N59" si="13">ROUND($D10*M10,0)</f>
        <v>3767890</v>
      </c>
      <c r="O10" s="52" t="str">
        <f t="shared" ref="O10:O59" si="14">+IF(M10&lt;=$E10,"OK","NO OK")</f>
        <v>OK</v>
      </c>
      <c r="P10" s="18">
        <v>1880050</v>
      </c>
      <c r="Q10" s="17">
        <f t="shared" ref="Q10:Q59" si="15">ROUND($D10*P10,0)</f>
        <v>3760100</v>
      </c>
      <c r="R10" s="52" t="str">
        <f t="shared" ref="R10:R59" si="16">+IF(P10&lt;=$E10,"OK","NO OK")</f>
        <v>OK</v>
      </c>
      <c r="S10" s="18">
        <v>1890405</v>
      </c>
      <c r="T10" s="17">
        <f t="shared" ref="T10:T59" si="17">ROUND($D10*S10,0)</f>
        <v>3780810</v>
      </c>
      <c r="U10" s="52" t="str">
        <f t="shared" ref="U10:U59" si="18">+IF(S10&lt;=$E10,"OK","NO OK")</f>
        <v>OK</v>
      </c>
      <c r="V10" s="18">
        <v>1880000</v>
      </c>
      <c r="W10" s="17">
        <f t="shared" ref="W10:W59" si="19">ROUND($D10*V10,0)</f>
        <v>3760000</v>
      </c>
      <c r="X10" s="52" t="str">
        <f t="shared" ref="X10:X59" si="20">+IF(V10&lt;=$E10,"OK","NO OK")</f>
        <v>OK</v>
      </c>
      <c r="Y10" s="18">
        <v>1886890</v>
      </c>
      <c r="Z10" s="17">
        <f t="shared" ref="Z10:Z59" si="21">ROUND($D10*Y10,0)</f>
        <v>3773780</v>
      </c>
      <c r="AA10" s="52" t="str">
        <f t="shared" ref="AA10:AA59" si="22">+IF(Y10&lt;=$E10,"OK","NO OK")</f>
        <v>OK</v>
      </c>
      <c r="AB10" s="18">
        <v>1900000</v>
      </c>
      <c r="AC10" s="17">
        <f t="shared" ref="AC10:AC59" si="23">ROUND($D10*AB10,0)</f>
        <v>3800000</v>
      </c>
      <c r="AD10" s="52" t="str">
        <f t="shared" ref="AD10:AD59" si="24">+IF(AB10&lt;=$E10,"OK","NO OK")</f>
        <v>OK</v>
      </c>
      <c r="AE10" s="18">
        <v>1889360</v>
      </c>
      <c r="AF10" s="17">
        <f t="shared" ref="AF10:AF59" si="25">ROUND($D10*AE10,0)</f>
        <v>3778720</v>
      </c>
      <c r="AG10" s="52" t="str">
        <f t="shared" ref="AG10:AG59" si="26">+IF(AE10&lt;=$E10,"OK","NO OK")</f>
        <v>OK</v>
      </c>
      <c r="AH10" s="18">
        <v>1889740</v>
      </c>
      <c r="AI10" s="17">
        <f t="shared" ref="AI10:AI59" si="27">ROUND($D10*AH10,0)</f>
        <v>3779480</v>
      </c>
      <c r="AJ10" s="52" t="str">
        <f t="shared" ref="AJ10:AJ59" si="28">+IF(AH10&lt;=$E10,"OK","NO OK")</f>
        <v>OK</v>
      </c>
    </row>
    <row r="11" spans="1:36" ht="114.75" x14ac:dyDescent="0.25">
      <c r="A11" s="15" t="s">
        <v>221</v>
      </c>
      <c r="B11" s="16" t="s">
        <v>222</v>
      </c>
      <c r="C11" s="15" t="s">
        <v>4</v>
      </c>
      <c r="D11" s="173">
        <v>12</v>
      </c>
      <c r="E11" s="18">
        <v>1900000</v>
      </c>
      <c r="F11" s="17">
        <f t="shared" si="9"/>
        <v>22800000</v>
      </c>
      <c r="G11" s="18">
        <v>1889151</v>
      </c>
      <c r="H11" s="17">
        <f t="shared" si="10"/>
        <v>22669812</v>
      </c>
      <c r="I11" s="52" t="str">
        <f t="shared" si="11"/>
        <v>OK</v>
      </c>
      <c r="J11" s="18">
        <v>1900000</v>
      </c>
      <c r="K11" s="17">
        <f t="shared" si="12"/>
        <v>22800000</v>
      </c>
      <c r="L11" s="52" t="str">
        <f t="shared" ref="L11:L59" si="29">+IF(J11&lt;=$E11,"OK","NO OK")</f>
        <v>OK</v>
      </c>
      <c r="M11" s="18">
        <v>1883945</v>
      </c>
      <c r="N11" s="17">
        <f t="shared" si="13"/>
        <v>22607340</v>
      </c>
      <c r="O11" s="52" t="str">
        <f t="shared" si="14"/>
        <v>OK</v>
      </c>
      <c r="P11" s="18">
        <v>1880050</v>
      </c>
      <c r="Q11" s="17">
        <f t="shared" si="15"/>
        <v>22560600</v>
      </c>
      <c r="R11" s="52" t="str">
        <f t="shared" si="16"/>
        <v>OK</v>
      </c>
      <c r="S11" s="18">
        <v>1890405</v>
      </c>
      <c r="T11" s="17">
        <f t="shared" si="17"/>
        <v>22684860</v>
      </c>
      <c r="U11" s="52" t="str">
        <f t="shared" si="18"/>
        <v>OK</v>
      </c>
      <c r="V11" s="18">
        <v>1880000</v>
      </c>
      <c r="W11" s="17">
        <f t="shared" si="19"/>
        <v>22560000</v>
      </c>
      <c r="X11" s="52" t="str">
        <f t="shared" si="20"/>
        <v>OK</v>
      </c>
      <c r="Y11" s="18">
        <v>1886890</v>
      </c>
      <c r="Z11" s="17">
        <f t="shared" si="21"/>
        <v>22642680</v>
      </c>
      <c r="AA11" s="52" t="str">
        <f t="shared" si="22"/>
        <v>OK</v>
      </c>
      <c r="AB11" s="18">
        <v>1850000</v>
      </c>
      <c r="AC11" s="17">
        <f t="shared" si="23"/>
        <v>22200000</v>
      </c>
      <c r="AD11" s="52" t="str">
        <f t="shared" si="24"/>
        <v>OK</v>
      </c>
      <c r="AE11" s="18">
        <v>1889360</v>
      </c>
      <c r="AF11" s="17">
        <f t="shared" si="25"/>
        <v>22672320</v>
      </c>
      <c r="AG11" s="52" t="str">
        <f t="shared" si="26"/>
        <v>OK</v>
      </c>
      <c r="AH11" s="18">
        <v>1889740</v>
      </c>
      <c r="AI11" s="17">
        <f t="shared" si="27"/>
        <v>22676880</v>
      </c>
      <c r="AJ11" s="52" t="str">
        <f t="shared" si="28"/>
        <v>OK</v>
      </c>
    </row>
    <row r="12" spans="1:36" ht="127.5" x14ac:dyDescent="0.25">
      <c r="A12" s="15" t="s">
        <v>223</v>
      </c>
      <c r="B12" s="16" t="s">
        <v>224</v>
      </c>
      <c r="C12" s="15" t="s">
        <v>4</v>
      </c>
      <c r="D12" s="173">
        <v>1</v>
      </c>
      <c r="E12" s="18">
        <v>1900000</v>
      </c>
      <c r="F12" s="17">
        <f t="shared" si="9"/>
        <v>1900000</v>
      </c>
      <c r="G12" s="18">
        <v>1889151</v>
      </c>
      <c r="H12" s="17">
        <f t="shared" si="10"/>
        <v>1889151</v>
      </c>
      <c r="I12" s="52" t="str">
        <f t="shared" si="11"/>
        <v>OK</v>
      </c>
      <c r="J12" s="18">
        <v>1900000</v>
      </c>
      <c r="K12" s="17">
        <f t="shared" ref="K12:K59" si="30">ROUND($D12*J12,0)</f>
        <v>1900000</v>
      </c>
      <c r="L12" s="52" t="str">
        <f t="shared" si="29"/>
        <v>OK</v>
      </c>
      <c r="M12" s="18">
        <v>1883945</v>
      </c>
      <c r="N12" s="17">
        <f t="shared" si="13"/>
        <v>1883945</v>
      </c>
      <c r="O12" s="52" t="str">
        <f t="shared" si="14"/>
        <v>OK</v>
      </c>
      <c r="P12" s="18">
        <v>1880050</v>
      </c>
      <c r="Q12" s="17">
        <f t="shared" si="15"/>
        <v>1880050</v>
      </c>
      <c r="R12" s="52" t="str">
        <f t="shared" si="16"/>
        <v>OK</v>
      </c>
      <c r="S12" s="18">
        <v>1890405</v>
      </c>
      <c r="T12" s="17">
        <f t="shared" si="17"/>
        <v>1890405</v>
      </c>
      <c r="U12" s="52" t="str">
        <f t="shared" si="18"/>
        <v>OK</v>
      </c>
      <c r="V12" s="18">
        <v>1880000</v>
      </c>
      <c r="W12" s="17">
        <f t="shared" si="19"/>
        <v>1880000</v>
      </c>
      <c r="X12" s="52" t="str">
        <f t="shared" si="20"/>
        <v>OK</v>
      </c>
      <c r="Y12" s="18">
        <v>1886890</v>
      </c>
      <c r="Z12" s="17">
        <f t="shared" si="21"/>
        <v>1886890</v>
      </c>
      <c r="AA12" s="52" t="str">
        <f t="shared" si="22"/>
        <v>OK</v>
      </c>
      <c r="AB12" s="18">
        <v>1900000</v>
      </c>
      <c r="AC12" s="17">
        <f t="shared" si="23"/>
        <v>1900000</v>
      </c>
      <c r="AD12" s="52" t="str">
        <f t="shared" si="24"/>
        <v>OK</v>
      </c>
      <c r="AE12" s="18">
        <v>1889360</v>
      </c>
      <c r="AF12" s="17">
        <f t="shared" si="25"/>
        <v>1889360</v>
      </c>
      <c r="AG12" s="52" t="str">
        <f t="shared" si="26"/>
        <v>OK</v>
      </c>
      <c r="AH12" s="18">
        <v>1889740</v>
      </c>
      <c r="AI12" s="17">
        <f t="shared" si="27"/>
        <v>1889740</v>
      </c>
      <c r="AJ12" s="52" t="str">
        <f t="shared" si="28"/>
        <v>OK</v>
      </c>
    </row>
    <row r="13" spans="1:36" ht="114.75" x14ac:dyDescent="0.25">
      <c r="A13" s="15" t="s">
        <v>225</v>
      </c>
      <c r="B13" s="16" t="s">
        <v>226</v>
      </c>
      <c r="C13" s="15" t="s">
        <v>4</v>
      </c>
      <c r="D13" s="173">
        <v>12</v>
      </c>
      <c r="E13" s="18">
        <v>1900000</v>
      </c>
      <c r="F13" s="17">
        <f t="shared" si="9"/>
        <v>22800000</v>
      </c>
      <c r="G13" s="18">
        <v>1889151</v>
      </c>
      <c r="H13" s="17">
        <f t="shared" si="10"/>
        <v>22669812</v>
      </c>
      <c r="I13" s="52" t="str">
        <f t="shared" si="11"/>
        <v>OK</v>
      </c>
      <c r="J13" s="18">
        <v>1900000</v>
      </c>
      <c r="K13" s="17">
        <f t="shared" si="30"/>
        <v>22800000</v>
      </c>
      <c r="L13" s="52" t="str">
        <f t="shared" si="29"/>
        <v>OK</v>
      </c>
      <c r="M13" s="18">
        <v>1883945</v>
      </c>
      <c r="N13" s="17">
        <f t="shared" si="13"/>
        <v>22607340</v>
      </c>
      <c r="O13" s="52" t="str">
        <f t="shared" si="14"/>
        <v>OK</v>
      </c>
      <c r="P13" s="18">
        <v>1880050</v>
      </c>
      <c r="Q13" s="17">
        <f t="shared" si="15"/>
        <v>22560600</v>
      </c>
      <c r="R13" s="52" t="str">
        <f t="shared" si="16"/>
        <v>OK</v>
      </c>
      <c r="S13" s="18">
        <v>1890405</v>
      </c>
      <c r="T13" s="17">
        <f t="shared" si="17"/>
        <v>22684860</v>
      </c>
      <c r="U13" s="52" t="str">
        <f t="shared" si="18"/>
        <v>OK</v>
      </c>
      <c r="V13" s="18">
        <v>1880000</v>
      </c>
      <c r="W13" s="17">
        <f t="shared" si="19"/>
        <v>22560000</v>
      </c>
      <c r="X13" s="52" t="str">
        <f t="shared" si="20"/>
        <v>OK</v>
      </c>
      <c r="Y13" s="18">
        <v>1886890</v>
      </c>
      <c r="Z13" s="17">
        <f t="shared" si="21"/>
        <v>22642680</v>
      </c>
      <c r="AA13" s="52" t="str">
        <f t="shared" si="22"/>
        <v>OK</v>
      </c>
      <c r="AB13" s="18">
        <v>1850000</v>
      </c>
      <c r="AC13" s="17">
        <f t="shared" si="23"/>
        <v>22200000</v>
      </c>
      <c r="AD13" s="52" t="str">
        <f t="shared" si="24"/>
        <v>OK</v>
      </c>
      <c r="AE13" s="18">
        <v>1889360</v>
      </c>
      <c r="AF13" s="17">
        <f t="shared" si="25"/>
        <v>22672320</v>
      </c>
      <c r="AG13" s="52" t="str">
        <f t="shared" si="26"/>
        <v>OK</v>
      </c>
      <c r="AH13" s="18">
        <v>1889740</v>
      </c>
      <c r="AI13" s="17">
        <f t="shared" si="27"/>
        <v>22676880</v>
      </c>
      <c r="AJ13" s="52" t="str">
        <f t="shared" si="28"/>
        <v>OK</v>
      </c>
    </row>
    <row r="14" spans="1:36" ht="114.75" x14ac:dyDescent="0.25">
      <c r="A14" s="15" t="s">
        <v>227</v>
      </c>
      <c r="B14" s="16" t="s">
        <v>228</v>
      </c>
      <c r="C14" s="15" t="s">
        <v>229</v>
      </c>
      <c r="D14" s="173">
        <v>1</v>
      </c>
      <c r="E14" s="18">
        <v>1900000</v>
      </c>
      <c r="F14" s="17">
        <f t="shared" si="9"/>
        <v>1900000</v>
      </c>
      <c r="G14" s="18">
        <v>1889151</v>
      </c>
      <c r="H14" s="17">
        <f t="shared" si="10"/>
        <v>1889151</v>
      </c>
      <c r="I14" s="52" t="str">
        <f t="shared" si="11"/>
        <v>OK</v>
      </c>
      <c r="J14" s="18">
        <v>1900000</v>
      </c>
      <c r="K14" s="17">
        <f t="shared" si="30"/>
        <v>1900000</v>
      </c>
      <c r="L14" s="52" t="str">
        <f t="shared" si="29"/>
        <v>OK</v>
      </c>
      <c r="M14" s="18">
        <v>1883945</v>
      </c>
      <c r="N14" s="17">
        <f t="shared" si="13"/>
        <v>1883945</v>
      </c>
      <c r="O14" s="52" t="str">
        <f t="shared" si="14"/>
        <v>OK</v>
      </c>
      <c r="P14" s="18">
        <v>1880050</v>
      </c>
      <c r="Q14" s="17">
        <f t="shared" si="15"/>
        <v>1880050</v>
      </c>
      <c r="R14" s="52" t="str">
        <f t="shared" si="16"/>
        <v>OK</v>
      </c>
      <c r="S14" s="18">
        <v>1890405</v>
      </c>
      <c r="T14" s="17">
        <f t="shared" si="17"/>
        <v>1890405</v>
      </c>
      <c r="U14" s="52" t="str">
        <f t="shared" si="18"/>
        <v>OK</v>
      </c>
      <c r="V14" s="18">
        <v>1880000</v>
      </c>
      <c r="W14" s="17">
        <f t="shared" si="19"/>
        <v>1880000</v>
      </c>
      <c r="X14" s="52" t="str">
        <f t="shared" si="20"/>
        <v>OK</v>
      </c>
      <c r="Y14" s="18">
        <v>1886890</v>
      </c>
      <c r="Z14" s="17">
        <f t="shared" si="21"/>
        <v>1886890</v>
      </c>
      <c r="AA14" s="52" t="str">
        <f t="shared" si="22"/>
        <v>OK</v>
      </c>
      <c r="AB14" s="18">
        <v>1900000</v>
      </c>
      <c r="AC14" s="17">
        <f t="shared" si="23"/>
        <v>1900000</v>
      </c>
      <c r="AD14" s="52" t="str">
        <f t="shared" si="24"/>
        <v>OK</v>
      </c>
      <c r="AE14" s="18">
        <v>1889360</v>
      </c>
      <c r="AF14" s="17">
        <f t="shared" si="25"/>
        <v>1889360</v>
      </c>
      <c r="AG14" s="52" t="str">
        <f t="shared" si="26"/>
        <v>OK</v>
      </c>
      <c r="AH14" s="18">
        <v>1889740</v>
      </c>
      <c r="AI14" s="17">
        <f t="shared" si="27"/>
        <v>1889740</v>
      </c>
      <c r="AJ14" s="52" t="str">
        <f t="shared" si="28"/>
        <v>OK</v>
      </c>
    </row>
    <row r="15" spans="1:36" ht="114.75" x14ac:dyDescent="0.25">
      <c r="A15" s="15" t="s">
        <v>230</v>
      </c>
      <c r="B15" s="16" t="s">
        <v>231</v>
      </c>
      <c r="C15" s="15" t="s">
        <v>229</v>
      </c>
      <c r="D15" s="173">
        <v>1</v>
      </c>
      <c r="E15" s="18">
        <v>1900000</v>
      </c>
      <c r="F15" s="17">
        <f t="shared" si="9"/>
        <v>1900000</v>
      </c>
      <c r="G15" s="18">
        <v>1889151</v>
      </c>
      <c r="H15" s="17">
        <f t="shared" si="10"/>
        <v>1889151</v>
      </c>
      <c r="I15" s="52" t="str">
        <f t="shared" si="11"/>
        <v>OK</v>
      </c>
      <c r="J15" s="18">
        <v>1900000</v>
      </c>
      <c r="K15" s="17">
        <f t="shared" si="30"/>
        <v>1900000</v>
      </c>
      <c r="L15" s="52" t="str">
        <f t="shared" si="29"/>
        <v>OK</v>
      </c>
      <c r="M15" s="18">
        <v>1883945</v>
      </c>
      <c r="N15" s="17">
        <f t="shared" si="13"/>
        <v>1883945</v>
      </c>
      <c r="O15" s="52" t="str">
        <f t="shared" si="14"/>
        <v>OK</v>
      </c>
      <c r="P15" s="18">
        <v>1880050</v>
      </c>
      <c r="Q15" s="17">
        <f t="shared" si="15"/>
        <v>1880050</v>
      </c>
      <c r="R15" s="52" t="str">
        <f t="shared" si="16"/>
        <v>OK</v>
      </c>
      <c r="S15" s="18">
        <v>1522274</v>
      </c>
      <c r="T15" s="17">
        <f t="shared" si="17"/>
        <v>1522274</v>
      </c>
      <c r="U15" s="52" t="str">
        <f t="shared" si="18"/>
        <v>OK</v>
      </c>
      <c r="V15" s="18">
        <v>1850000</v>
      </c>
      <c r="W15" s="17">
        <f t="shared" si="19"/>
        <v>1850000</v>
      </c>
      <c r="X15" s="52" t="str">
        <f t="shared" si="20"/>
        <v>OK</v>
      </c>
      <c r="Y15" s="18">
        <v>1886890</v>
      </c>
      <c r="Z15" s="17">
        <f t="shared" si="21"/>
        <v>1886890</v>
      </c>
      <c r="AA15" s="52" t="str">
        <f t="shared" si="22"/>
        <v>OK</v>
      </c>
      <c r="AB15" s="18">
        <v>1900000</v>
      </c>
      <c r="AC15" s="17">
        <f t="shared" si="23"/>
        <v>1900000</v>
      </c>
      <c r="AD15" s="52" t="str">
        <f t="shared" si="24"/>
        <v>OK</v>
      </c>
      <c r="AE15" s="18">
        <v>1889360</v>
      </c>
      <c r="AF15" s="17">
        <f t="shared" si="25"/>
        <v>1889360</v>
      </c>
      <c r="AG15" s="52" t="str">
        <f t="shared" si="26"/>
        <v>OK</v>
      </c>
      <c r="AH15" s="18">
        <v>1889740</v>
      </c>
      <c r="AI15" s="17">
        <f t="shared" si="27"/>
        <v>1889740</v>
      </c>
      <c r="AJ15" s="52" t="str">
        <f t="shared" si="28"/>
        <v>OK</v>
      </c>
    </row>
    <row r="16" spans="1:36" ht="76.5" x14ac:dyDescent="0.25">
      <c r="A16" s="15" t="s">
        <v>232</v>
      </c>
      <c r="B16" s="16" t="s">
        <v>233</v>
      </c>
      <c r="C16" s="15" t="s">
        <v>229</v>
      </c>
      <c r="D16" s="173">
        <v>1</v>
      </c>
      <c r="E16" s="18">
        <v>1530000</v>
      </c>
      <c r="F16" s="17">
        <f t="shared" si="9"/>
        <v>1530000</v>
      </c>
      <c r="G16" s="18">
        <v>1521264</v>
      </c>
      <c r="H16" s="17">
        <f t="shared" si="10"/>
        <v>1521264</v>
      </c>
      <c r="I16" s="52" t="str">
        <f t="shared" si="11"/>
        <v>OK</v>
      </c>
      <c r="J16" s="18">
        <v>1530000</v>
      </c>
      <c r="K16" s="17">
        <f t="shared" si="30"/>
        <v>1530000</v>
      </c>
      <c r="L16" s="52" t="str">
        <f t="shared" si="29"/>
        <v>OK</v>
      </c>
      <c r="M16" s="18">
        <v>1517072</v>
      </c>
      <c r="N16" s="17">
        <f t="shared" si="13"/>
        <v>1517072</v>
      </c>
      <c r="O16" s="52" t="str">
        <f t="shared" si="14"/>
        <v>OK</v>
      </c>
      <c r="P16" s="18">
        <v>1513935</v>
      </c>
      <c r="Q16" s="17">
        <f t="shared" si="15"/>
        <v>1513935</v>
      </c>
      <c r="R16" s="52" t="str">
        <f t="shared" si="16"/>
        <v>OK</v>
      </c>
      <c r="S16" s="18">
        <v>1890405</v>
      </c>
      <c r="T16" s="17">
        <f t="shared" si="17"/>
        <v>1890405</v>
      </c>
      <c r="U16" s="52" t="str">
        <f t="shared" si="18"/>
        <v>NO OK</v>
      </c>
      <c r="V16" s="18">
        <v>1530000</v>
      </c>
      <c r="W16" s="17">
        <f t="shared" si="19"/>
        <v>1530000</v>
      </c>
      <c r="X16" s="52" t="str">
        <f t="shared" si="20"/>
        <v>OK</v>
      </c>
      <c r="Y16" s="18">
        <v>1519443</v>
      </c>
      <c r="Z16" s="17">
        <f t="shared" si="21"/>
        <v>1519443</v>
      </c>
      <c r="AA16" s="52" t="str">
        <f t="shared" si="22"/>
        <v>OK</v>
      </c>
      <c r="AB16" s="18">
        <v>1530000</v>
      </c>
      <c r="AC16" s="17">
        <f t="shared" si="23"/>
        <v>1530000</v>
      </c>
      <c r="AD16" s="52" t="str">
        <f t="shared" si="24"/>
        <v>OK</v>
      </c>
      <c r="AE16" s="18">
        <v>1521432</v>
      </c>
      <c r="AF16" s="17">
        <f t="shared" si="25"/>
        <v>1521432</v>
      </c>
      <c r="AG16" s="52" t="str">
        <f t="shared" si="26"/>
        <v>OK</v>
      </c>
      <c r="AH16" s="18">
        <v>1521738</v>
      </c>
      <c r="AI16" s="17">
        <f t="shared" si="27"/>
        <v>1521738</v>
      </c>
      <c r="AJ16" s="52" t="str">
        <f t="shared" si="28"/>
        <v>OK</v>
      </c>
    </row>
    <row r="17" spans="1:36" ht="127.5" x14ac:dyDescent="0.25">
      <c r="A17" s="15" t="s">
        <v>234</v>
      </c>
      <c r="B17" s="16" t="s">
        <v>235</v>
      </c>
      <c r="C17" s="15" t="s">
        <v>229</v>
      </c>
      <c r="D17" s="173">
        <v>1</v>
      </c>
      <c r="E17" s="18">
        <v>1900000</v>
      </c>
      <c r="F17" s="17">
        <f t="shared" si="9"/>
        <v>1900000</v>
      </c>
      <c r="G17" s="18">
        <v>1889151</v>
      </c>
      <c r="H17" s="17">
        <f t="shared" si="10"/>
        <v>1889151</v>
      </c>
      <c r="I17" s="52" t="str">
        <f t="shared" si="11"/>
        <v>OK</v>
      </c>
      <c r="J17" s="18">
        <v>1900000</v>
      </c>
      <c r="K17" s="17">
        <f t="shared" si="30"/>
        <v>1900000</v>
      </c>
      <c r="L17" s="52" t="str">
        <f t="shared" si="29"/>
        <v>OK</v>
      </c>
      <c r="M17" s="18">
        <v>1883945</v>
      </c>
      <c r="N17" s="17">
        <f t="shared" si="13"/>
        <v>1883945</v>
      </c>
      <c r="O17" s="52" t="str">
        <f t="shared" si="14"/>
        <v>OK</v>
      </c>
      <c r="P17" s="18">
        <v>1880050</v>
      </c>
      <c r="Q17" s="17">
        <f t="shared" si="15"/>
        <v>1880050</v>
      </c>
      <c r="R17" s="52" t="str">
        <f t="shared" si="16"/>
        <v>OK</v>
      </c>
      <c r="S17" s="18">
        <v>1890405</v>
      </c>
      <c r="T17" s="17">
        <f t="shared" si="17"/>
        <v>1890405</v>
      </c>
      <c r="U17" s="52" t="str">
        <f t="shared" si="18"/>
        <v>OK</v>
      </c>
      <c r="V17" s="18">
        <v>1880000</v>
      </c>
      <c r="W17" s="17">
        <f t="shared" si="19"/>
        <v>1880000</v>
      </c>
      <c r="X17" s="52" t="str">
        <f t="shared" si="20"/>
        <v>OK</v>
      </c>
      <c r="Y17" s="18">
        <v>1886890</v>
      </c>
      <c r="Z17" s="17">
        <f t="shared" si="21"/>
        <v>1886890</v>
      </c>
      <c r="AA17" s="52" t="str">
        <f t="shared" si="22"/>
        <v>OK</v>
      </c>
      <c r="AB17" s="18">
        <v>1900000</v>
      </c>
      <c r="AC17" s="17">
        <f t="shared" si="23"/>
        <v>1900000</v>
      </c>
      <c r="AD17" s="52" t="str">
        <f t="shared" si="24"/>
        <v>OK</v>
      </c>
      <c r="AE17" s="18">
        <v>1889360</v>
      </c>
      <c r="AF17" s="17">
        <f t="shared" si="25"/>
        <v>1889360</v>
      </c>
      <c r="AG17" s="52" t="str">
        <f t="shared" si="26"/>
        <v>OK</v>
      </c>
      <c r="AH17" s="18">
        <v>1889740</v>
      </c>
      <c r="AI17" s="17">
        <f t="shared" si="27"/>
        <v>1889740</v>
      </c>
      <c r="AJ17" s="52" t="str">
        <f t="shared" si="28"/>
        <v>OK</v>
      </c>
    </row>
    <row r="18" spans="1:36" ht="114.75" x14ac:dyDescent="0.25">
      <c r="A18" s="15" t="s">
        <v>236</v>
      </c>
      <c r="B18" s="16" t="s">
        <v>237</v>
      </c>
      <c r="C18" s="15" t="s">
        <v>229</v>
      </c>
      <c r="D18" s="173">
        <v>1</v>
      </c>
      <c r="E18" s="18">
        <v>1900000</v>
      </c>
      <c r="F18" s="17">
        <f t="shared" si="9"/>
        <v>1900000</v>
      </c>
      <c r="G18" s="18">
        <v>1889151</v>
      </c>
      <c r="H18" s="17">
        <f t="shared" si="10"/>
        <v>1889151</v>
      </c>
      <c r="I18" s="52" t="str">
        <f t="shared" si="11"/>
        <v>OK</v>
      </c>
      <c r="J18" s="18">
        <v>1900000</v>
      </c>
      <c r="K18" s="17">
        <f t="shared" si="30"/>
        <v>1900000</v>
      </c>
      <c r="L18" s="52" t="str">
        <f t="shared" si="29"/>
        <v>OK</v>
      </c>
      <c r="M18" s="18">
        <v>1883945</v>
      </c>
      <c r="N18" s="17">
        <f t="shared" si="13"/>
        <v>1883945</v>
      </c>
      <c r="O18" s="52" t="str">
        <f t="shared" si="14"/>
        <v>OK</v>
      </c>
      <c r="P18" s="18">
        <v>1880050</v>
      </c>
      <c r="Q18" s="17">
        <f t="shared" si="15"/>
        <v>1880050</v>
      </c>
      <c r="R18" s="52" t="str">
        <f t="shared" si="16"/>
        <v>OK</v>
      </c>
      <c r="S18" s="18">
        <v>1890405</v>
      </c>
      <c r="T18" s="17">
        <f t="shared" si="17"/>
        <v>1890405</v>
      </c>
      <c r="U18" s="52" t="str">
        <f t="shared" si="18"/>
        <v>OK</v>
      </c>
      <c r="V18" s="18">
        <v>1880000</v>
      </c>
      <c r="W18" s="17">
        <f t="shared" si="19"/>
        <v>1880000</v>
      </c>
      <c r="X18" s="52" t="str">
        <f t="shared" si="20"/>
        <v>OK</v>
      </c>
      <c r="Y18" s="18">
        <v>1886890</v>
      </c>
      <c r="Z18" s="17">
        <f t="shared" si="21"/>
        <v>1886890</v>
      </c>
      <c r="AA18" s="52" t="str">
        <f t="shared" si="22"/>
        <v>OK</v>
      </c>
      <c r="AB18" s="18">
        <v>1900000</v>
      </c>
      <c r="AC18" s="17">
        <f t="shared" si="23"/>
        <v>1900000</v>
      </c>
      <c r="AD18" s="52" t="str">
        <f t="shared" si="24"/>
        <v>OK</v>
      </c>
      <c r="AE18" s="18">
        <v>1889360</v>
      </c>
      <c r="AF18" s="17">
        <f t="shared" si="25"/>
        <v>1889360</v>
      </c>
      <c r="AG18" s="52" t="str">
        <f t="shared" si="26"/>
        <v>OK</v>
      </c>
      <c r="AH18" s="18">
        <v>1889740</v>
      </c>
      <c r="AI18" s="17">
        <f t="shared" si="27"/>
        <v>1889740</v>
      </c>
      <c r="AJ18" s="52" t="str">
        <f t="shared" si="28"/>
        <v>OK</v>
      </c>
    </row>
    <row r="19" spans="1:36" ht="127.5" x14ac:dyDescent="0.25">
      <c r="A19" s="15" t="s">
        <v>238</v>
      </c>
      <c r="B19" s="16" t="s">
        <v>239</v>
      </c>
      <c r="C19" s="15" t="s">
        <v>229</v>
      </c>
      <c r="D19" s="173">
        <v>1</v>
      </c>
      <c r="E19" s="18">
        <v>4625000</v>
      </c>
      <c r="F19" s="17">
        <f t="shared" si="9"/>
        <v>4625000</v>
      </c>
      <c r="G19" s="18">
        <v>4598591</v>
      </c>
      <c r="H19" s="17">
        <f t="shared" si="10"/>
        <v>4598591</v>
      </c>
      <c r="I19" s="52" t="str">
        <f t="shared" si="11"/>
        <v>OK</v>
      </c>
      <c r="J19" s="18">
        <v>4625000</v>
      </c>
      <c r="K19" s="17">
        <f t="shared" si="30"/>
        <v>4625000</v>
      </c>
      <c r="L19" s="52" t="str">
        <f t="shared" si="29"/>
        <v>OK</v>
      </c>
      <c r="M19" s="18">
        <v>4585919</v>
      </c>
      <c r="N19" s="17">
        <f t="shared" si="13"/>
        <v>4585919</v>
      </c>
      <c r="O19" s="52" t="str">
        <f t="shared" si="14"/>
        <v>OK</v>
      </c>
      <c r="P19" s="18">
        <v>4576438</v>
      </c>
      <c r="Q19" s="17">
        <f t="shared" si="15"/>
        <v>4576438</v>
      </c>
      <c r="R19" s="52" t="str">
        <f t="shared" si="16"/>
        <v>OK</v>
      </c>
      <c r="S19" s="18">
        <v>4601644</v>
      </c>
      <c r="T19" s="17">
        <f t="shared" si="17"/>
        <v>4601644</v>
      </c>
      <c r="U19" s="52" t="str">
        <f t="shared" si="18"/>
        <v>OK</v>
      </c>
      <c r="V19" s="18">
        <v>4600000</v>
      </c>
      <c r="W19" s="17">
        <f t="shared" si="19"/>
        <v>4600000</v>
      </c>
      <c r="X19" s="52" t="str">
        <f t="shared" si="20"/>
        <v>OK</v>
      </c>
      <c r="Y19" s="18">
        <v>4593088</v>
      </c>
      <c r="Z19" s="17">
        <f t="shared" si="21"/>
        <v>4593088</v>
      </c>
      <c r="AA19" s="52" t="str">
        <f t="shared" si="22"/>
        <v>OK</v>
      </c>
      <c r="AB19" s="18">
        <v>4625000</v>
      </c>
      <c r="AC19" s="17">
        <f t="shared" si="23"/>
        <v>4625000</v>
      </c>
      <c r="AD19" s="52" t="str">
        <f t="shared" si="24"/>
        <v>OK</v>
      </c>
      <c r="AE19" s="18">
        <v>4599100</v>
      </c>
      <c r="AF19" s="17">
        <f t="shared" si="25"/>
        <v>4599100</v>
      </c>
      <c r="AG19" s="52" t="str">
        <f t="shared" si="26"/>
        <v>OK</v>
      </c>
      <c r="AH19" s="18">
        <v>4600025</v>
      </c>
      <c r="AI19" s="17">
        <f t="shared" si="27"/>
        <v>4600025</v>
      </c>
      <c r="AJ19" s="52" t="str">
        <f t="shared" si="28"/>
        <v>OK</v>
      </c>
    </row>
    <row r="20" spans="1:36" ht="127.5" x14ac:dyDescent="0.25">
      <c r="A20" s="15" t="s">
        <v>240</v>
      </c>
      <c r="B20" s="16" t="s">
        <v>241</v>
      </c>
      <c r="C20" s="15" t="s">
        <v>229</v>
      </c>
      <c r="D20" s="173">
        <v>1</v>
      </c>
      <c r="E20" s="18">
        <v>4100000</v>
      </c>
      <c r="F20" s="17">
        <f t="shared" si="9"/>
        <v>4100000</v>
      </c>
      <c r="G20" s="18">
        <v>4076589</v>
      </c>
      <c r="H20" s="17">
        <f t="shared" si="10"/>
        <v>4076589</v>
      </c>
      <c r="I20" s="52" t="str">
        <f t="shared" si="11"/>
        <v>OK</v>
      </c>
      <c r="J20" s="18">
        <v>4100000</v>
      </c>
      <c r="K20" s="17">
        <f t="shared" si="30"/>
        <v>4100000</v>
      </c>
      <c r="L20" s="52" t="str">
        <f t="shared" si="29"/>
        <v>OK</v>
      </c>
      <c r="M20" s="18">
        <v>4065355</v>
      </c>
      <c r="N20" s="17">
        <f t="shared" si="13"/>
        <v>4065355</v>
      </c>
      <c r="O20" s="52" t="str">
        <f t="shared" si="14"/>
        <v>OK</v>
      </c>
      <c r="P20" s="18">
        <v>4056950</v>
      </c>
      <c r="Q20" s="17">
        <f t="shared" si="15"/>
        <v>4056950</v>
      </c>
      <c r="R20" s="52" t="str">
        <f t="shared" si="16"/>
        <v>OK</v>
      </c>
      <c r="S20" s="18">
        <v>4079295</v>
      </c>
      <c r="T20" s="17">
        <f t="shared" si="17"/>
        <v>4079295</v>
      </c>
      <c r="U20" s="52" t="str">
        <f t="shared" si="18"/>
        <v>OK</v>
      </c>
      <c r="V20" s="18">
        <v>4050000</v>
      </c>
      <c r="W20" s="17">
        <f t="shared" si="19"/>
        <v>4050000</v>
      </c>
      <c r="X20" s="52" t="str">
        <f t="shared" si="20"/>
        <v>OK</v>
      </c>
      <c r="Y20" s="18">
        <v>4071710</v>
      </c>
      <c r="Z20" s="17">
        <f t="shared" si="21"/>
        <v>4071710</v>
      </c>
      <c r="AA20" s="52" t="str">
        <f t="shared" si="22"/>
        <v>OK</v>
      </c>
      <c r="AB20" s="18">
        <v>4100000</v>
      </c>
      <c r="AC20" s="17">
        <f t="shared" si="23"/>
        <v>4100000</v>
      </c>
      <c r="AD20" s="52" t="str">
        <f t="shared" si="24"/>
        <v>OK</v>
      </c>
      <c r="AE20" s="18">
        <v>4077040</v>
      </c>
      <c r="AF20" s="17">
        <f t="shared" si="25"/>
        <v>4077040</v>
      </c>
      <c r="AG20" s="52" t="str">
        <f t="shared" si="26"/>
        <v>OK</v>
      </c>
      <c r="AH20" s="18">
        <v>4077860</v>
      </c>
      <c r="AI20" s="17">
        <f t="shared" si="27"/>
        <v>4077860</v>
      </c>
      <c r="AJ20" s="52" t="str">
        <f t="shared" si="28"/>
        <v>OK</v>
      </c>
    </row>
    <row r="21" spans="1:36" ht="89.25" x14ac:dyDescent="0.25">
      <c r="A21" s="15" t="s">
        <v>242</v>
      </c>
      <c r="B21" s="16" t="s">
        <v>243</v>
      </c>
      <c r="C21" s="15" t="s">
        <v>229</v>
      </c>
      <c r="D21" s="173">
        <v>1</v>
      </c>
      <c r="E21" s="18">
        <v>5785000</v>
      </c>
      <c r="F21" s="17">
        <f t="shared" si="9"/>
        <v>5785000</v>
      </c>
      <c r="G21" s="18">
        <v>5751968</v>
      </c>
      <c r="H21" s="17">
        <f t="shared" si="10"/>
        <v>5751968</v>
      </c>
      <c r="I21" s="52" t="str">
        <f t="shared" si="11"/>
        <v>OK</v>
      </c>
      <c r="J21" s="18">
        <v>5785000</v>
      </c>
      <c r="K21" s="17">
        <f t="shared" si="30"/>
        <v>5785000</v>
      </c>
      <c r="L21" s="52" t="str">
        <f t="shared" si="29"/>
        <v>OK</v>
      </c>
      <c r="M21" s="18">
        <v>5736117</v>
      </c>
      <c r="N21" s="17">
        <f t="shared" si="13"/>
        <v>5736117</v>
      </c>
      <c r="O21" s="52" t="str">
        <f t="shared" si="14"/>
        <v>OK</v>
      </c>
      <c r="P21" s="18">
        <v>5724258</v>
      </c>
      <c r="Q21" s="17">
        <f t="shared" si="15"/>
        <v>5724258</v>
      </c>
      <c r="R21" s="52" t="str">
        <f t="shared" si="16"/>
        <v>OK</v>
      </c>
      <c r="S21" s="18">
        <v>5755786</v>
      </c>
      <c r="T21" s="17">
        <f t="shared" si="17"/>
        <v>5755786</v>
      </c>
      <c r="U21" s="52" t="str">
        <f t="shared" si="18"/>
        <v>OK</v>
      </c>
      <c r="V21" s="18">
        <v>5700000</v>
      </c>
      <c r="W21" s="17">
        <f t="shared" si="19"/>
        <v>5700000</v>
      </c>
      <c r="X21" s="52" t="str">
        <f t="shared" si="20"/>
        <v>OK</v>
      </c>
      <c r="Y21" s="18">
        <v>5745084</v>
      </c>
      <c r="Z21" s="17">
        <f t="shared" si="21"/>
        <v>5745084</v>
      </c>
      <c r="AA21" s="52" t="str">
        <f t="shared" si="22"/>
        <v>OK</v>
      </c>
      <c r="AB21" s="18">
        <v>5785000</v>
      </c>
      <c r="AC21" s="17">
        <f t="shared" si="23"/>
        <v>5785000</v>
      </c>
      <c r="AD21" s="52" t="str">
        <f t="shared" si="24"/>
        <v>OK</v>
      </c>
      <c r="AE21" s="18">
        <v>5752604</v>
      </c>
      <c r="AF21" s="17">
        <f t="shared" si="25"/>
        <v>5752604</v>
      </c>
      <c r="AG21" s="52" t="str">
        <f t="shared" si="26"/>
        <v>OK</v>
      </c>
      <c r="AH21" s="18">
        <v>5753761</v>
      </c>
      <c r="AI21" s="17">
        <f t="shared" si="27"/>
        <v>5753761</v>
      </c>
      <c r="AJ21" s="52" t="str">
        <f t="shared" si="28"/>
        <v>OK</v>
      </c>
    </row>
    <row r="22" spans="1:36" ht="76.5" x14ac:dyDescent="0.25">
      <c r="A22" s="15" t="s">
        <v>244</v>
      </c>
      <c r="B22" s="16" t="s">
        <v>245</v>
      </c>
      <c r="C22" s="15" t="s">
        <v>229</v>
      </c>
      <c r="D22" s="173">
        <v>1</v>
      </c>
      <c r="E22" s="18">
        <v>3500000</v>
      </c>
      <c r="F22" s="17">
        <f t="shared" si="9"/>
        <v>3500000</v>
      </c>
      <c r="G22" s="18">
        <v>3480015</v>
      </c>
      <c r="H22" s="17">
        <f t="shared" si="10"/>
        <v>3480015</v>
      </c>
      <c r="I22" s="52" t="str">
        <f t="shared" si="11"/>
        <v>OK</v>
      </c>
      <c r="J22" s="18">
        <v>3500000</v>
      </c>
      <c r="K22" s="17">
        <f t="shared" si="30"/>
        <v>3500000</v>
      </c>
      <c r="L22" s="52" t="str">
        <f t="shared" si="29"/>
        <v>OK</v>
      </c>
      <c r="M22" s="18">
        <v>3470425</v>
      </c>
      <c r="N22" s="17">
        <f t="shared" si="13"/>
        <v>3470425</v>
      </c>
      <c r="O22" s="52" t="str">
        <f t="shared" si="14"/>
        <v>OK</v>
      </c>
      <c r="P22" s="18">
        <v>3463250</v>
      </c>
      <c r="Q22" s="17">
        <f t="shared" si="15"/>
        <v>3463250</v>
      </c>
      <c r="R22" s="52" t="str">
        <f t="shared" si="16"/>
        <v>OK</v>
      </c>
      <c r="S22" s="18">
        <v>3482325</v>
      </c>
      <c r="T22" s="17">
        <f t="shared" si="17"/>
        <v>3482325</v>
      </c>
      <c r="U22" s="52" t="str">
        <f t="shared" si="18"/>
        <v>OK</v>
      </c>
      <c r="V22" s="18">
        <v>3450000</v>
      </c>
      <c r="W22" s="17">
        <f t="shared" si="19"/>
        <v>3450000</v>
      </c>
      <c r="X22" s="52" t="str">
        <f t="shared" si="20"/>
        <v>OK</v>
      </c>
      <c r="Y22" s="18">
        <v>3475850</v>
      </c>
      <c r="Z22" s="17">
        <f t="shared" si="21"/>
        <v>3475850</v>
      </c>
      <c r="AA22" s="52" t="str">
        <f t="shared" si="22"/>
        <v>OK</v>
      </c>
      <c r="AB22" s="18">
        <v>3500000</v>
      </c>
      <c r="AC22" s="17">
        <f t="shared" si="23"/>
        <v>3500000</v>
      </c>
      <c r="AD22" s="52" t="str">
        <f t="shared" si="24"/>
        <v>OK</v>
      </c>
      <c r="AE22" s="18">
        <v>3480400</v>
      </c>
      <c r="AF22" s="17">
        <f t="shared" si="25"/>
        <v>3480400</v>
      </c>
      <c r="AG22" s="52" t="str">
        <f t="shared" si="26"/>
        <v>OK</v>
      </c>
      <c r="AH22" s="18">
        <v>3481100</v>
      </c>
      <c r="AI22" s="17">
        <f t="shared" si="27"/>
        <v>3481100</v>
      </c>
      <c r="AJ22" s="52" t="str">
        <f t="shared" si="28"/>
        <v>OK</v>
      </c>
    </row>
    <row r="23" spans="1:36" ht="51" x14ac:dyDescent="0.25">
      <c r="A23" s="15" t="s">
        <v>246</v>
      </c>
      <c r="B23" s="16" t="s">
        <v>247</v>
      </c>
      <c r="C23" s="15" t="s">
        <v>229</v>
      </c>
      <c r="D23" s="173">
        <v>1</v>
      </c>
      <c r="E23" s="18">
        <v>590000</v>
      </c>
      <c r="F23" s="17">
        <f t="shared" si="9"/>
        <v>590000</v>
      </c>
      <c r="G23" s="18">
        <v>586631</v>
      </c>
      <c r="H23" s="17">
        <f t="shared" si="10"/>
        <v>586631</v>
      </c>
      <c r="I23" s="52" t="str">
        <f t="shared" si="11"/>
        <v>OK</v>
      </c>
      <c r="J23" s="18">
        <v>590000</v>
      </c>
      <c r="K23" s="17">
        <f t="shared" si="30"/>
        <v>590000</v>
      </c>
      <c r="L23" s="52" t="str">
        <f t="shared" si="29"/>
        <v>OK</v>
      </c>
      <c r="M23" s="18">
        <v>585015</v>
      </c>
      <c r="N23" s="17">
        <f t="shared" si="13"/>
        <v>585015</v>
      </c>
      <c r="O23" s="52" t="str">
        <f t="shared" si="14"/>
        <v>OK</v>
      </c>
      <c r="P23" s="18">
        <v>583805</v>
      </c>
      <c r="Q23" s="17">
        <f t="shared" si="15"/>
        <v>583805</v>
      </c>
      <c r="R23" s="52" t="str">
        <f t="shared" si="16"/>
        <v>OK</v>
      </c>
      <c r="S23" s="18">
        <v>587021</v>
      </c>
      <c r="T23" s="17">
        <f t="shared" si="17"/>
        <v>587021</v>
      </c>
      <c r="U23" s="52" t="str">
        <f t="shared" si="18"/>
        <v>OK</v>
      </c>
      <c r="V23" s="18">
        <v>590000</v>
      </c>
      <c r="W23" s="17">
        <f t="shared" si="19"/>
        <v>590000</v>
      </c>
      <c r="X23" s="52" t="str">
        <f t="shared" si="20"/>
        <v>OK</v>
      </c>
      <c r="Y23" s="18">
        <v>585929</v>
      </c>
      <c r="Z23" s="17">
        <f t="shared" si="21"/>
        <v>585929</v>
      </c>
      <c r="AA23" s="52" t="str">
        <f t="shared" si="22"/>
        <v>OK</v>
      </c>
      <c r="AB23" s="18">
        <v>590000</v>
      </c>
      <c r="AC23" s="17">
        <f t="shared" si="23"/>
        <v>590000</v>
      </c>
      <c r="AD23" s="52" t="str">
        <f t="shared" si="24"/>
        <v>OK</v>
      </c>
      <c r="AE23" s="18">
        <v>586696</v>
      </c>
      <c r="AF23" s="17">
        <f t="shared" si="25"/>
        <v>586696</v>
      </c>
      <c r="AG23" s="52" t="str">
        <f t="shared" si="26"/>
        <v>OK</v>
      </c>
      <c r="AH23" s="18">
        <v>586814</v>
      </c>
      <c r="AI23" s="17">
        <f t="shared" si="27"/>
        <v>586814</v>
      </c>
      <c r="AJ23" s="52" t="str">
        <f t="shared" si="28"/>
        <v>OK</v>
      </c>
    </row>
    <row r="24" spans="1:36" ht="51" x14ac:dyDescent="0.25">
      <c r="A24" s="15" t="s">
        <v>248</v>
      </c>
      <c r="B24" s="16" t="s">
        <v>249</v>
      </c>
      <c r="C24" s="15" t="s">
        <v>229</v>
      </c>
      <c r="D24" s="173">
        <v>1</v>
      </c>
      <c r="E24" s="18">
        <v>590000</v>
      </c>
      <c r="F24" s="17">
        <f t="shared" si="9"/>
        <v>590000</v>
      </c>
      <c r="G24" s="18">
        <v>586631</v>
      </c>
      <c r="H24" s="17">
        <f t="shared" si="10"/>
        <v>586631</v>
      </c>
      <c r="I24" s="52" t="str">
        <f t="shared" si="11"/>
        <v>OK</v>
      </c>
      <c r="J24" s="18">
        <v>590000</v>
      </c>
      <c r="K24" s="17">
        <f t="shared" si="30"/>
        <v>590000</v>
      </c>
      <c r="L24" s="52" t="str">
        <f t="shared" si="29"/>
        <v>OK</v>
      </c>
      <c r="M24" s="18">
        <v>585015</v>
      </c>
      <c r="N24" s="17">
        <f t="shared" si="13"/>
        <v>585015</v>
      </c>
      <c r="O24" s="52" t="str">
        <f t="shared" si="14"/>
        <v>OK</v>
      </c>
      <c r="P24" s="18">
        <v>583805</v>
      </c>
      <c r="Q24" s="17">
        <f t="shared" si="15"/>
        <v>583805</v>
      </c>
      <c r="R24" s="52" t="str">
        <f t="shared" si="16"/>
        <v>OK</v>
      </c>
      <c r="S24" s="18">
        <v>587021</v>
      </c>
      <c r="T24" s="17">
        <f t="shared" si="17"/>
        <v>587021</v>
      </c>
      <c r="U24" s="52" t="str">
        <f t="shared" si="18"/>
        <v>OK</v>
      </c>
      <c r="V24" s="18">
        <v>590000</v>
      </c>
      <c r="W24" s="17">
        <f t="shared" si="19"/>
        <v>590000</v>
      </c>
      <c r="X24" s="52" t="str">
        <f t="shared" si="20"/>
        <v>OK</v>
      </c>
      <c r="Y24" s="18">
        <v>585929</v>
      </c>
      <c r="Z24" s="17">
        <f t="shared" si="21"/>
        <v>585929</v>
      </c>
      <c r="AA24" s="52" t="str">
        <f t="shared" si="22"/>
        <v>OK</v>
      </c>
      <c r="AB24" s="18">
        <v>590000</v>
      </c>
      <c r="AC24" s="17">
        <f t="shared" si="23"/>
        <v>590000</v>
      </c>
      <c r="AD24" s="52" t="str">
        <f t="shared" si="24"/>
        <v>OK</v>
      </c>
      <c r="AE24" s="18">
        <v>586696</v>
      </c>
      <c r="AF24" s="17">
        <f t="shared" si="25"/>
        <v>586696</v>
      </c>
      <c r="AG24" s="52" t="str">
        <f t="shared" si="26"/>
        <v>OK</v>
      </c>
      <c r="AH24" s="18">
        <v>586814</v>
      </c>
      <c r="AI24" s="17">
        <f t="shared" si="27"/>
        <v>586814</v>
      </c>
      <c r="AJ24" s="52" t="str">
        <f t="shared" si="28"/>
        <v>OK</v>
      </c>
    </row>
    <row r="25" spans="1:36" ht="63.75" x14ac:dyDescent="0.25">
      <c r="A25" s="15" t="s">
        <v>250</v>
      </c>
      <c r="B25" s="16" t="s">
        <v>251</v>
      </c>
      <c r="C25" s="15" t="s">
        <v>229</v>
      </c>
      <c r="D25" s="173">
        <v>1</v>
      </c>
      <c r="E25" s="18">
        <v>4325000</v>
      </c>
      <c r="F25" s="17">
        <f t="shared" si="9"/>
        <v>4325000</v>
      </c>
      <c r="G25" s="18">
        <v>4300304</v>
      </c>
      <c r="H25" s="17">
        <f t="shared" si="10"/>
        <v>4300304</v>
      </c>
      <c r="I25" s="52" t="str">
        <f t="shared" si="11"/>
        <v>OK</v>
      </c>
      <c r="J25" s="18">
        <v>4325000</v>
      </c>
      <c r="K25" s="17">
        <f t="shared" si="30"/>
        <v>4325000</v>
      </c>
      <c r="L25" s="52" t="str">
        <f t="shared" si="29"/>
        <v>OK</v>
      </c>
      <c r="M25" s="18">
        <v>4288454</v>
      </c>
      <c r="N25" s="17">
        <f t="shared" si="13"/>
        <v>4288454</v>
      </c>
      <c r="O25" s="52" t="str">
        <f t="shared" si="14"/>
        <v>OK</v>
      </c>
      <c r="P25" s="18">
        <v>4279588</v>
      </c>
      <c r="Q25" s="17">
        <f t="shared" si="15"/>
        <v>4279588</v>
      </c>
      <c r="R25" s="52" t="str">
        <f t="shared" si="16"/>
        <v>OK</v>
      </c>
      <c r="S25" s="18">
        <v>4303159</v>
      </c>
      <c r="T25" s="17">
        <f t="shared" si="17"/>
        <v>4303159</v>
      </c>
      <c r="U25" s="52" t="str">
        <f t="shared" si="18"/>
        <v>OK</v>
      </c>
      <c r="V25" s="18">
        <v>4300000</v>
      </c>
      <c r="W25" s="17">
        <f t="shared" si="19"/>
        <v>4300000</v>
      </c>
      <c r="X25" s="52" t="str">
        <f t="shared" si="20"/>
        <v>OK</v>
      </c>
      <c r="Y25" s="18">
        <v>4295158</v>
      </c>
      <c r="Z25" s="17">
        <f t="shared" si="21"/>
        <v>4295158</v>
      </c>
      <c r="AA25" s="52" t="str">
        <f t="shared" si="22"/>
        <v>OK</v>
      </c>
      <c r="AB25" s="18">
        <v>4325000</v>
      </c>
      <c r="AC25" s="17">
        <f t="shared" si="23"/>
        <v>4325000</v>
      </c>
      <c r="AD25" s="52" t="str">
        <f t="shared" si="24"/>
        <v>OK</v>
      </c>
      <c r="AE25" s="18">
        <v>4300780</v>
      </c>
      <c r="AF25" s="17">
        <f t="shared" si="25"/>
        <v>4300780</v>
      </c>
      <c r="AG25" s="52" t="str">
        <f t="shared" si="26"/>
        <v>OK</v>
      </c>
      <c r="AH25" s="18">
        <v>4301645</v>
      </c>
      <c r="AI25" s="17">
        <f t="shared" si="27"/>
        <v>4301645</v>
      </c>
      <c r="AJ25" s="52" t="str">
        <f t="shared" si="28"/>
        <v>OK</v>
      </c>
    </row>
    <row r="26" spans="1:36" ht="51" x14ac:dyDescent="0.25">
      <c r="A26" s="15" t="s">
        <v>252</v>
      </c>
      <c r="B26" s="16" t="s">
        <v>253</v>
      </c>
      <c r="C26" s="15" t="s">
        <v>229</v>
      </c>
      <c r="D26" s="173">
        <v>1</v>
      </c>
      <c r="E26" s="18">
        <v>1160000</v>
      </c>
      <c r="F26" s="17">
        <f t="shared" si="9"/>
        <v>1160000</v>
      </c>
      <c r="G26" s="18">
        <v>1153376</v>
      </c>
      <c r="H26" s="17">
        <f t="shared" si="10"/>
        <v>1153376</v>
      </c>
      <c r="I26" s="52" t="str">
        <f t="shared" si="11"/>
        <v>OK</v>
      </c>
      <c r="J26" s="18">
        <v>1160000</v>
      </c>
      <c r="K26" s="17">
        <f t="shared" si="30"/>
        <v>1160000</v>
      </c>
      <c r="L26" s="52" t="str">
        <f t="shared" si="29"/>
        <v>OK</v>
      </c>
      <c r="M26" s="18">
        <v>1150198</v>
      </c>
      <c r="N26" s="17">
        <f t="shared" si="13"/>
        <v>1150198</v>
      </c>
      <c r="O26" s="52" t="str">
        <f t="shared" si="14"/>
        <v>OK</v>
      </c>
      <c r="P26" s="18">
        <v>1147820</v>
      </c>
      <c r="Q26" s="17">
        <f t="shared" si="15"/>
        <v>1147820</v>
      </c>
      <c r="R26" s="52" t="str">
        <f t="shared" si="16"/>
        <v>OK</v>
      </c>
      <c r="S26" s="18">
        <v>1154142</v>
      </c>
      <c r="T26" s="17">
        <f t="shared" si="17"/>
        <v>1154142</v>
      </c>
      <c r="U26" s="52" t="str">
        <f t="shared" si="18"/>
        <v>OK</v>
      </c>
      <c r="V26" s="18">
        <v>1150000</v>
      </c>
      <c r="W26" s="17">
        <f t="shared" si="19"/>
        <v>1150000</v>
      </c>
      <c r="X26" s="52" t="str">
        <f t="shared" si="20"/>
        <v>OK</v>
      </c>
      <c r="Y26" s="18">
        <v>1151996</v>
      </c>
      <c r="Z26" s="17">
        <f t="shared" si="21"/>
        <v>1151996</v>
      </c>
      <c r="AA26" s="52" t="str">
        <f t="shared" si="22"/>
        <v>OK</v>
      </c>
      <c r="AB26" s="18">
        <v>1160000</v>
      </c>
      <c r="AC26" s="17">
        <f t="shared" si="23"/>
        <v>1160000</v>
      </c>
      <c r="AD26" s="52" t="str">
        <f t="shared" si="24"/>
        <v>OK</v>
      </c>
      <c r="AE26" s="18">
        <v>1153504</v>
      </c>
      <c r="AF26" s="17">
        <f t="shared" si="25"/>
        <v>1153504</v>
      </c>
      <c r="AG26" s="52" t="str">
        <f t="shared" si="26"/>
        <v>OK</v>
      </c>
      <c r="AH26" s="18">
        <v>1153736</v>
      </c>
      <c r="AI26" s="17">
        <f t="shared" si="27"/>
        <v>1153736</v>
      </c>
      <c r="AJ26" s="52" t="str">
        <f t="shared" si="28"/>
        <v>OK</v>
      </c>
    </row>
    <row r="27" spans="1:36" ht="89.25" x14ac:dyDescent="0.25">
      <c r="A27" s="15" t="s">
        <v>254</v>
      </c>
      <c r="B27" s="16" t="s">
        <v>255</v>
      </c>
      <c r="C27" s="15" t="s">
        <v>229</v>
      </c>
      <c r="D27" s="173">
        <v>1</v>
      </c>
      <c r="E27" s="18">
        <v>3600000</v>
      </c>
      <c r="F27" s="17">
        <f t="shared" si="9"/>
        <v>3600000</v>
      </c>
      <c r="G27" s="18">
        <v>3579444</v>
      </c>
      <c r="H27" s="17">
        <f t="shared" si="10"/>
        <v>3579444</v>
      </c>
      <c r="I27" s="52" t="str">
        <f t="shared" si="11"/>
        <v>OK</v>
      </c>
      <c r="J27" s="18">
        <v>3600000</v>
      </c>
      <c r="K27" s="17">
        <f t="shared" si="30"/>
        <v>3600000</v>
      </c>
      <c r="L27" s="52" t="str">
        <f t="shared" si="29"/>
        <v>OK</v>
      </c>
      <c r="M27" s="18">
        <v>3569580</v>
      </c>
      <c r="N27" s="17">
        <f t="shared" si="13"/>
        <v>3569580</v>
      </c>
      <c r="O27" s="52" t="str">
        <f t="shared" si="14"/>
        <v>OK</v>
      </c>
      <c r="P27" s="18">
        <v>3562200</v>
      </c>
      <c r="Q27" s="17">
        <f t="shared" si="15"/>
        <v>3562200</v>
      </c>
      <c r="R27" s="52" t="str">
        <f t="shared" si="16"/>
        <v>OK</v>
      </c>
      <c r="S27" s="18">
        <v>3581820</v>
      </c>
      <c r="T27" s="17">
        <f t="shared" si="17"/>
        <v>3581820</v>
      </c>
      <c r="U27" s="52" t="str">
        <f t="shared" si="18"/>
        <v>OK</v>
      </c>
      <c r="V27" s="18">
        <v>3600000</v>
      </c>
      <c r="W27" s="17">
        <f t="shared" si="19"/>
        <v>3600000</v>
      </c>
      <c r="X27" s="52" t="str">
        <f t="shared" si="20"/>
        <v>OK</v>
      </c>
      <c r="Y27" s="18">
        <v>3575160</v>
      </c>
      <c r="Z27" s="17">
        <f t="shared" si="21"/>
        <v>3575160</v>
      </c>
      <c r="AA27" s="52" t="str">
        <f t="shared" si="22"/>
        <v>OK</v>
      </c>
      <c r="AB27" s="18">
        <v>3600000</v>
      </c>
      <c r="AC27" s="17">
        <f t="shared" si="23"/>
        <v>3600000</v>
      </c>
      <c r="AD27" s="52" t="str">
        <f t="shared" si="24"/>
        <v>OK</v>
      </c>
      <c r="AE27" s="18">
        <v>3579840</v>
      </c>
      <c r="AF27" s="17">
        <f t="shared" si="25"/>
        <v>3579840</v>
      </c>
      <c r="AG27" s="52" t="str">
        <f t="shared" si="26"/>
        <v>OK</v>
      </c>
      <c r="AH27" s="18">
        <v>3580560</v>
      </c>
      <c r="AI27" s="17">
        <f t="shared" si="27"/>
        <v>3580560</v>
      </c>
      <c r="AJ27" s="52" t="str">
        <f t="shared" si="28"/>
        <v>OK</v>
      </c>
    </row>
    <row r="28" spans="1:36" ht="76.5" x14ac:dyDescent="0.25">
      <c r="A28" s="15" t="s">
        <v>13</v>
      </c>
      <c r="B28" s="16" t="s">
        <v>256</v>
      </c>
      <c r="C28" s="15" t="s">
        <v>229</v>
      </c>
      <c r="D28" s="173">
        <v>1</v>
      </c>
      <c r="E28" s="18">
        <v>4250000</v>
      </c>
      <c r="F28" s="17">
        <f t="shared" si="9"/>
        <v>4250000</v>
      </c>
      <c r="G28" s="18">
        <v>4225733</v>
      </c>
      <c r="H28" s="17">
        <f t="shared" si="10"/>
        <v>4225733</v>
      </c>
      <c r="I28" s="52" t="str">
        <f t="shared" si="11"/>
        <v>OK</v>
      </c>
      <c r="J28" s="18">
        <v>4250000</v>
      </c>
      <c r="K28" s="17">
        <f t="shared" si="30"/>
        <v>4250000</v>
      </c>
      <c r="L28" s="52" t="str">
        <f t="shared" si="29"/>
        <v>OK</v>
      </c>
      <c r="M28" s="18">
        <v>4214088</v>
      </c>
      <c r="N28" s="17">
        <f t="shared" si="13"/>
        <v>4214088</v>
      </c>
      <c r="O28" s="52" t="str">
        <f t="shared" si="14"/>
        <v>OK</v>
      </c>
      <c r="P28" s="18">
        <v>4205375</v>
      </c>
      <c r="Q28" s="17">
        <f t="shared" si="15"/>
        <v>4205375</v>
      </c>
      <c r="R28" s="52" t="str">
        <f t="shared" si="16"/>
        <v>OK</v>
      </c>
      <c r="S28" s="18">
        <v>4228538</v>
      </c>
      <c r="T28" s="17">
        <f t="shared" si="17"/>
        <v>4228538</v>
      </c>
      <c r="U28" s="52" t="str">
        <f t="shared" si="18"/>
        <v>OK</v>
      </c>
      <c r="V28" s="18">
        <v>4200000</v>
      </c>
      <c r="W28" s="17">
        <f t="shared" si="19"/>
        <v>4200000</v>
      </c>
      <c r="X28" s="52" t="str">
        <f t="shared" si="20"/>
        <v>OK</v>
      </c>
      <c r="Y28" s="18">
        <v>4220675</v>
      </c>
      <c r="Z28" s="17">
        <f t="shared" si="21"/>
        <v>4220675</v>
      </c>
      <c r="AA28" s="52" t="str">
        <f t="shared" si="22"/>
        <v>OK</v>
      </c>
      <c r="AB28" s="18">
        <v>4250000</v>
      </c>
      <c r="AC28" s="17">
        <f t="shared" si="23"/>
        <v>4250000</v>
      </c>
      <c r="AD28" s="52" t="str">
        <f t="shared" si="24"/>
        <v>OK</v>
      </c>
      <c r="AE28" s="18">
        <v>4226200</v>
      </c>
      <c r="AF28" s="17">
        <f t="shared" si="25"/>
        <v>4226200</v>
      </c>
      <c r="AG28" s="52" t="str">
        <f t="shared" si="26"/>
        <v>OK</v>
      </c>
      <c r="AH28" s="18">
        <v>4227050</v>
      </c>
      <c r="AI28" s="17">
        <f t="shared" si="27"/>
        <v>4227050</v>
      </c>
      <c r="AJ28" s="52" t="str">
        <f t="shared" si="28"/>
        <v>OK</v>
      </c>
    </row>
    <row r="29" spans="1:36" ht="76.5" x14ac:dyDescent="0.25">
      <c r="A29" s="15" t="s">
        <v>257</v>
      </c>
      <c r="B29" s="16" t="s">
        <v>258</v>
      </c>
      <c r="C29" s="15" t="s">
        <v>4</v>
      </c>
      <c r="D29" s="173">
        <v>1</v>
      </c>
      <c r="E29" s="18">
        <v>3700000</v>
      </c>
      <c r="F29" s="17">
        <f t="shared" si="9"/>
        <v>3700000</v>
      </c>
      <c r="G29" s="18">
        <v>3678873</v>
      </c>
      <c r="H29" s="17">
        <f t="shared" si="10"/>
        <v>3678873</v>
      </c>
      <c r="I29" s="52" t="str">
        <f t="shared" si="11"/>
        <v>OK</v>
      </c>
      <c r="J29" s="18">
        <v>3700000</v>
      </c>
      <c r="K29" s="17">
        <f t="shared" si="30"/>
        <v>3700000</v>
      </c>
      <c r="L29" s="52" t="str">
        <f t="shared" si="29"/>
        <v>OK</v>
      </c>
      <c r="M29" s="18">
        <v>3668735</v>
      </c>
      <c r="N29" s="17">
        <f t="shared" si="13"/>
        <v>3668735</v>
      </c>
      <c r="O29" s="52" t="str">
        <f t="shared" si="14"/>
        <v>OK</v>
      </c>
      <c r="P29" s="18">
        <v>3661150</v>
      </c>
      <c r="Q29" s="17">
        <f t="shared" si="15"/>
        <v>3661150</v>
      </c>
      <c r="R29" s="52" t="str">
        <f t="shared" si="16"/>
        <v>OK</v>
      </c>
      <c r="S29" s="18">
        <v>3681315</v>
      </c>
      <c r="T29" s="17">
        <f t="shared" si="17"/>
        <v>3681315</v>
      </c>
      <c r="U29" s="52" t="str">
        <f t="shared" si="18"/>
        <v>OK</v>
      </c>
      <c r="V29" s="18">
        <v>3650000</v>
      </c>
      <c r="W29" s="17">
        <f t="shared" si="19"/>
        <v>3650000</v>
      </c>
      <c r="X29" s="52" t="str">
        <f t="shared" si="20"/>
        <v>OK</v>
      </c>
      <c r="Y29" s="18">
        <v>3674470</v>
      </c>
      <c r="Z29" s="17">
        <f t="shared" si="21"/>
        <v>3674470</v>
      </c>
      <c r="AA29" s="52" t="str">
        <f t="shared" si="22"/>
        <v>OK</v>
      </c>
      <c r="AB29" s="18">
        <v>3700000</v>
      </c>
      <c r="AC29" s="17">
        <f t="shared" si="23"/>
        <v>3700000</v>
      </c>
      <c r="AD29" s="52" t="str">
        <f t="shared" si="24"/>
        <v>OK</v>
      </c>
      <c r="AE29" s="18">
        <v>3679280</v>
      </c>
      <c r="AF29" s="17">
        <f t="shared" si="25"/>
        <v>3679280</v>
      </c>
      <c r="AG29" s="52" t="str">
        <f t="shared" si="26"/>
        <v>OK</v>
      </c>
      <c r="AH29" s="18">
        <v>3680020</v>
      </c>
      <c r="AI29" s="17">
        <f t="shared" si="27"/>
        <v>3680020</v>
      </c>
      <c r="AJ29" s="52" t="str">
        <f t="shared" si="28"/>
        <v>OK</v>
      </c>
    </row>
    <row r="30" spans="1:36" ht="76.5" x14ac:dyDescent="0.25">
      <c r="A30" s="15" t="s">
        <v>259</v>
      </c>
      <c r="B30" s="16" t="s">
        <v>260</v>
      </c>
      <c r="C30" s="15" t="s">
        <v>4</v>
      </c>
      <c r="D30" s="173">
        <v>5</v>
      </c>
      <c r="E30" s="18">
        <v>3700000</v>
      </c>
      <c r="F30" s="17">
        <f t="shared" si="9"/>
        <v>18500000</v>
      </c>
      <c r="G30" s="18">
        <v>3678873</v>
      </c>
      <c r="H30" s="17">
        <f t="shared" si="10"/>
        <v>18394365</v>
      </c>
      <c r="I30" s="52" t="str">
        <f t="shared" si="11"/>
        <v>OK</v>
      </c>
      <c r="J30" s="18">
        <v>3700000</v>
      </c>
      <c r="K30" s="17">
        <f t="shared" si="30"/>
        <v>18500000</v>
      </c>
      <c r="L30" s="52" t="str">
        <f t="shared" si="29"/>
        <v>OK</v>
      </c>
      <c r="M30" s="18">
        <v>3668735</v>
      </c>
      <c r="N30" s="17">
        <f t="shared" si="13"/>
        <v>18343675</v>
      </c>
      <c r="O30" s="52" t="str">
        <f t="shared" si="14"/>
        <v>OK</v>
      </c>
      <c r="P30" s="18">
        <v>3661150</v>
      </c>
      <c r="Q30" s="17">
        <f t="shared" si="15"/>
        <v>18305750</v>
      </c>
      <c r="R30" s="52" t="str">
        <f t="shared" si="16"/>
        <v>OK</v>
      </c>
      <c r="S30" s="18">
        <v>3681315</v>
      </c>
      <c r="T30" s="17">
        <f t="shared" si="17"/>
        <v>18406575</v>
      </c>
      <c r="U30" s="52" t="str">
        <f t="shared" si="18"/>
        <v>OK</v>
      </c>
      <c r="V30" s="18">
        <v>3680000</v>
      </c>
      <c r="W30" s="17">
        <f t="shared" si="19"/>
        <v>18400000</v>
      </c>
      <c r="X30" s="52" t="str">
        <f t="shared" si="20"/>
        <v>OK</v>
      </c>
      <c r="Y30" s="18">
        <v>3674470</v>
      </c>
      <c r="Z30" s="17">
        <f t="shared" si="21"/>
        <v>18372350</v>
      </c>
      <c r="AA30" s="52" t="str">
        <f t="shared" si="22"/>
        <v>OK</v>
      </c>
      <c r="AB30" s="18">
        <v>3650000</v>
      </c>
      <c r="AC30" s="17">
        <f t="shared" si="23"/>
        <v>18250000</v>
      </c>
      <c r="AD30" s="52" t="str">
        <f t="shared" si="24"/>
        <v>OK</v>
      </c>
      <c r="AE30" s="18">
        <v>3679280</v>
      </c>
      <c r="AF30" s="17">
        <f t="shared" si="25"/>
        <v>18396400</v>
      </c>
      <c r="AG30" s="52" t="str">
        <f t="shared" si="26"/>
        <v>OK</v>
      </c>
      <c r="AH30" s="18">
        <v>3680020</v>
      </c>
      <c r="AI30" s="17">
        <f t="shared" si="27"/>
        <v>18400100</v>
      </c>
      <c r="AJ30" s="52" t="str">
        <f t="shared" si="28"/>
        <v>OK</v>
      </c>
    </row>
    <row r="31" spans="1:36" ht="76.5" x14ac:dyDescent="0.25">
      <c r="A31" s="15" t="s">
        <v>261</v>
      </c>
      <c r="B31" s="16" t="s">
        <v>262</v>
      </c>
      <c r="C31" s="15" t="s">
        <v>4</v>
      </c>
      <c r="D31" s="173">
        <v>1</v>
      </c>
      <c r="E31" s="18">
        <v>3700000</v>
      </c>
      <c r="F31" s="17">
        <f t="shared" si="9"/>
        <v>3700000</v>
      </c>
      <c r="G31" s="18">
        <v>3678873</v>
      </c>
      <c r="H31" s="17">
        <f t="shared" si="10"/>
        <v>3678873</v>
      </c>
      <c r="I31" s="52" t="str">
        <f t="shared" si="11"/>
        <v>OK</v>
      </c>
      <c r="J31" s="18">
        <v>3700000</v>
      </c>
      <c r="K31" s="17">
        <f t="shared" si="30"/>
        <v>3700000</v>
      </c>
      <c r="L31" s="52" t="str">
        <f t="shared" si="29"/>
        <v>OK</v>
      </c>
      <c r="M31" s="18">
        <v>3668735</v>
      </c>
      <c r="N31" s="17">
        <f t="shared" si="13"/>
        <v>3668735</v>
      </c>
      <c r="O31" s="52" t="str">
        <f t="shared" si="14"/>
        <v>OK</v>
      </c>
      <c r="P31" s="18">
        <v>3661150</v>
      </c>
      <c r="Q31" s="17">
        <f t="shared" si="15"/>
        <v>3661150</v>
      </c>
      <c r="R31" s="52" t="str">
        <f t="shared" si="16"/>
        <v>OK</v>
      </c>
      <c r="S31" s="18">
        <v>3681315</v>
      </c>
      <c r="T31" s="17">
        <f t="shared" si="17"/>
        <v>3681315</v>
      </c>
      <c r="U31" s="52" t="str">
        <f t="shared" si="18"/>
        <v>OK</v>
      </c>
      <c r="V31" s="18">
        <v>3700000</v>
      </c>
      <c r="W31" s="17">
        <f t="shared" si="19"/>
        <v>3700000</v>
      </c>
      <c r="X31" s="52" t="str">
        <f t="shared" si="20"/>
        <v>OK</v>
      </c>
      <c r="Y31" s="18">
        <v>3674470</v>
      </c>
      <c r="Z31" s="17">
        <f t="shared" si="21"/>
        <v>3674470</v>
      </c>
      <c r="AA31" s="52" t="str">
        <f t="shared" si="22"/>
        <v>OK</v>
      </c>
      <c r="AB31" s="18">
        <v>3700000</v>
      </c>
      <c r="AC31" s="17">
        <f t="shared" si="23"/>
        <v>3700000</v>
      </c>
      <c r="AD31" s="52" t="str">
        <f t="shared" si="24"/>
        <v>OK</v>
      </c>
      <c r="AE31" s="18">
        <v>3679280</v>
      </c>
      <c r="AF31" s="17">
        <f t="shared" si="25"/>
        <v>3679280</v>
      </c>
      <c r="AG31" s="52" t="str">
        <f t="shared" si="26"/>
        <v>OK</v>
      </c>
      <c r="AH31" s="18">
        <v>3680020</v>
      </c>
      <c r="AI31" s="17">
        <f t="shared" si="27"/>
        <v>3680020</v>
      </c>
      <c r="AJ31" s="52" t="str">
        <f t="shared" si="28"/>
        <v>OK</v>
      </c>
    </row>
    <row r="32" spans="1:36" ht="76.5" x14ac:dyDescent="0.25">
      <c r="A32" s="15" t="s">
        <v>263</v>
      </c>
      <c r="B32" s="16" t="s">
        <v>264</v>
      </c>
      <c r="C32" s="15" t="s">
        <v>4</v>
      </c>
      <c r="D32" s="173">
        <v>1</v>
      </c>
      <c r="E32" s="18">
        <v>2550000</v>
      </c>
      <c r="F32" s="17">
        <f t="shared" si="9"/>
        <v>2550000</v>
      </c>
      <c r="G32" s="18">
        <v>2535440</v>
      </c>
      <c r="H32" s="17">
        <f t="shared" si="10"/>
        <v>2535440</v>
      </c>
      <c r="I32" s="52" t="str">
        <f t="shared" si="11"/>
        <v>OK</v>
      </c>
      <c r="J32" s="18">
        <v>2550000</v>
      </c>
      <c r="K32" s="17">
        <f t="shared" si="30"/>
        <v>2550000</v>
      </c>
      <c r="L32" s="52" t="str">
        <f t="shared" si="29"/>
        <v>OK</v>
      </c>
      <c r="M32" s="18">
        <v>2528453</v>
      </c>
      <c r="N32" s="17">
        <f t="shared" si="13"/>
        <v>2528453</v>
      </c>
      <c r="O32" s="52" t="str">
        <f t="shared" si="14"/>
        <v>OK</v>
      </c>
      <c r="P32" s="18">
        <v>2523225</v>
      </c>
      <c r="Q32" s="17">
        <f t="shared" si="15"/>
        <v>2523225</v>
      </c>
      <c r="R32" s="52" t="str">
        <f t="shared" si="16"/>
        <v>OK</v>
      </c>
      <c r="S32" s="18">
        <v>2537123</v>
      </c>
      <c r="T32" s="17">
        <f t="shared" si="17"/>
        <v>2537123</v>
      </c>
      <c r="U32" s="52" t="str">
        <f t="shared" si="18"/>
        <v>OK</v>
      </c>
      <c r="V32" s="18">
        <v>2550000</v>
      </c>
      <c r="W32" s="17">
        <f t="shared" si="19"/>
        <v>2550000</v>
      </c>
      <c r="X32" s="52" t="str">
        <f t="shared" si="20"/>
        <v>OK</v>
      </c>
      <c r="Y32" s="18">
        <v>2532405</v>
      </c>
      <c r="Z32" s="17">
        <f t="shared" si="21"/>
        <v>2532405</v>
      </c>
      <c r="AA32" s="52" t="str">
        <f t="shared" si="22"/>
        <v>OK</v>
      </c>
      <c r="AB32" s="18">
        <v>2550000</v>
      </c>
      <c r="AC32" s="17">
        <f t="shared" si="23"/>
        <v>2550000</v>
      </c>
      <c r="AD32" s="52" t="str">
        <f t="shared" si="24"/>
        <v>OK</v>
      </c>
      <c r="AE32" s="18">
        <v>2535720</v>
      </c>
      <c r="AF32" s="17">
        <f t="shared" si="25"/>
        <v>2535720</v>
      </c>
      <c r="AG32" s="52" t="str">
        <f t="shared" si="26"/>
        <v>OK</v>
      </c>
      <c r="AH32" s="18">
        <v>2536230</v>
      </c>
      <c r="AI32" s="17">
        <f t="shared" si="27"/>
        <v>2536230</v>
      </c>
      <c r="AJ32" s="52" t="str">
        <f t="shared" si="28"/>
        <v>OK</v>
      </c>
    </row>
    <row r="33" spans="1:36" ht="51" x14ac:dyDescent="0.25">
      <c r="A33" s="15" t="s">
        <v>265</v>
      </c>
      <c r="B33" s="16" t="s">
        <v>266</v>
      </c>
      <c r="C33" s="15" t="s">
        <v>4</v>
      </c>
      <c r="D33" s="173">
        <v>4</v>
      </c>
      <c r="E33" s="18">
        <v>345000</v>
      </c>
      <c r="F33" s="17">
        <f t="shared" si="9"/>
        <v>1380000</v>
      </c>
      <c r="G33" s="18">
        <v>343030</v>
      </c>
      <c r="H33" s="17">
        <f t="shared" si="10"/>
        <v>1372120</v>
      </c>
      <c r="I33" s="52" t="str">
        <f t="shared" si="11"/>
        <v>OK</v>
      </c>
      <c r="J33" s="18">
        <v>345000</v>
      </c>
      <c r="K33" s="17">
        <f t="shared" si="30"/>
        <v>1380000</v>
      </c>
      <c r="L33" s="52" t="str">
        <f t="shared" si="29"/>
        <v>OK</v>
      </c>
      <c r="M33" s="18">
        <v>342085</v>
      </c>
      <c r="N33" s="17">
        <f t="shared" si="13"/>
        <v>1368340</v>
      </c>
      <c r="O33" s="52" t="str">
        <f t="shared" si="14"/>
        <v>OK</v>
      </c>
      <c r="P33" s="18">
        <v>341378</v>
      </c>
      <c r="Q33" s="17">
        <f t="shared" si="15"/>
        <v>1365512</v>
      </c>
      <c r="R33" s="52" t="str">
        <f t="shared" si="16"/>
        <v>OK</v>
      </c>
      <c r="S33" s="18">
        <v>343258</v>
      </c>
      <c r="T33" s="17">
        <f t="shared" si="17"/>
        <v>1373032</v>
      </c>
      <c r="U33" s="52" t="str">
        <f t="shared" si="18"/>
        <v>OK</v>
      </c>
      <c r="V33" s="18">
        <v>340000</v>
      </c>
      <c r="W33" s="17">
        <f t="shared" si="19"/>
        <v>1360000</v>
      </c>
      <c r="X33" s="52" t="str">
        <f t="shared" si="20"/>
        <v>OK</v>
      </c>
      <c r="Y33" s="18">
        <v>342620</v>
      </c>
      <c r="Z33" s="17">
        <f t="shared" si="21"/>
        <v>1370480</v>
      </c>
      <c r="AA33" s="52" t="str">
        <f t="shared" si="22"/>
        <v>OK</v>
      </c>
      <c r="AB33" s="18">
        <v>345000</v>
      </c>
      <c r="AC33" s="17">
        <f t="shared" si="23"/>
        <v>1380000</v>
      </c>
      <c r="AD33" s="52" t="str">
        <f t="shared" si="24"/>
        <v>OK</v>
      </c>
      <c r="AE33" s="18">
        <v>343068</v>
      </c>
      <c r="AF33" s="17">
        <f t="shared" si="25"/>
        <v>1372272</v>
      </c>
      <c r="AG33" s="52" t="str">
        <f t="shared" si="26"/>
        <v>OK</v>
      </c>
      <c r="AH33" s="18">
        <v>343137</v>
      </c>
      <c r="AI33" s="17">
        <f t="shared" si="27"/>
        <v>1372548</v>
      </c>
      <c r="AJ33" s="52" t="str">
        <f t="shared" si="28"/>
        <v>OK</v>
      </c>
    </row>
    <row r="34" spans="1:36" ht="140.25" x14ac:dyDescent="0.25">
      <c r="A34" s="15" t="s">
        <v>267</v>
      </c>
      <c r="B34" s="16" t="s">
        <v>268</v>
      </c>
      <c r="C34" s="15" t="s">
        <v>4</v>
      </c>
      <c r="D34" s="173">
        <v>3</v>
      </c>
      <c r="E34" s="18">
        <v>7340000</v>
      </c>
      <c r="F34" s="17">
        <f t="shared" si="9"/>
        <v>22020000</v>
      </c>
      <c r="G34" s="18">
        <v>7298089</v>
      </c>
      <c r="H34" s="17">
        <f t="shared" si="10"/>
        <v>21894267</v>
      </c>
      <c r="I34" s="52" t="str">
        <f t="shared" si="11"/>
        <v>OK</v>
      </c>
      <c r="J34" s="18">
        <v>6940000</v>
      </c>
      <c r="K34" s="17">
        <f t="shared" si="30"/>
        <v>20820000</v>
      </c>
      <c r="L34" s="52" t="str">
        <f t="shared" si="29"/>
        <v>OK</v>
      </c>
      <c r="M34" s="18">
        <v>7277977</v>
      </c>
      <c r="N34" s="17">
        <f t="shared" si="13"/>
        <v>21833931</v>
      </c>
      <c r="O34" s="52" t="str">
        <f t="shared" si="14"/>
        <v>OK</v>
      </c>
      <c r="P34" s="18">
        <v>7262930</v>
      </c>
      <c r="Q34" s="17">
        <f t="shared" si="15"/>
        <v>21788790</v>
      </c>
      <c r="R34" s="52" t="str">
        <f t="shared" si="16"/>
        <v>OK</v>
      </c>
      <c r="S34" s="18">
        <v>7302933</v>
      </c>
      <c r="T34" s="17">
        <f t="shared" si="17"/>
        <v>21908799</v>
      </c>
      <c r="U34" s="52" t="str">
        <f t="shared" si="18"/>
        <v>OK</v>
      </c>
      <c r="V34" s="18">
        <v>7320000</v>
      </c>
      <c r="W34" s="17">
        <f t="shared" si="19"/>
        <v>21960000</v>
      </c>
      <c r="X34" s="52" t="str">
        <f t="shared" si="20"/>
        <v>OK</v>
      </c>
      <c r="Y34" s="18">
        <v>7289354</v>
      </c>
      <c r="Z34" s="17">
        <f t="shared" si="21"/>
        <v>21868062</v>
      </c>
      <c r="AA34" s="52" t="str">
        <f t="shared" si="22"/>
        <v>OK</v>
      </c>
      <c r="AB34" s="18">
        <v>7290000</v>
      </c>
      <c r="AC34" s="17">
        <f t="shared" si="23"/>
        <v>21870000</v>
      </c>
      <c r="AD34" s="52" t="str">
        <f t="shared" si="24"/>
        <v>OK</v>
      </c>
      <c r="AE34" s="18">
        <v>7298896</v>
      </c>
      <c r="AF34" s="17">
        <f t="shared" si="25"/>
        <v>21896688</v>
      </c>
      <c r="AG34" s="52" t="str">
        <f t="shared" si="26"/>
        <v>OK</v>
      </c>
      <c r="AH34" s="18">
        <v>7300364</v>
      </c>
      <c r="AI34" s="17">
        <f t="shared" si="27"/>
        <v>21901092</v>
      </c>
      <c r="AJ34" s="52" t="str">
        <f t="shared" si="28"/>
        <v>OK</v>
      </c>
    </row>
    <row r="35" spans="1:36" ht="51" x14ac:dyDescent="0.25">
      <c r="A35" s="15" t="s">
        <v>269</v>
      </c>
      <c r="B35" s="16" t="s">
        <v>270</v>
      </c>
      <c r="C35" s="15" t="s">
        <v>4</v>
      </c>
      <c r="D35" s="173">
        <v>1</v>
      </c>
      <c r="E35" s="18">
        <v>770000</v>
      </c>
      <c r="F35" s="17">
        <f t="shared" si="9"/>
        <v>770000</v>
      </c>
      <c r="G35" s="18">
        <v>765603</v>
      </c>
      <c r="H35" s="17">
        <f t="shared" si="10"/>
        <v>765603</v>
      </c>
      <c r="I35" s="52" t="str">
        <f t="shared" si="11"/>
        <v>OK</v>
      </c>
      <c r="J35" s="18">
        <v>770000</v>
      </c>
      <c r="K35" s="17">
        <f t="shared" si="30"/>
        <v>770000</v>
      </c>
      <c r="L35" s="52" t="str">
        <f t="shared" si="29"/>
        <v>OK</v>
      </c>
      <c r="M35" s="18">
        <v>763494</v>
      </c>
      <c r="N35" s="17">
        <f t="shared" si="13"/>
        <v>763494</v>
      </c>
      <c r="O35" s="52" t="str">
        <f t="shared" si="14"/>
        <v>OK</v>
      </c>
      <c r="P35" s="18">
        <v>761915</v>
      </c>
      <c r="Q35" s="17">
        <f t="shared" si="15"/>
        <v>761915</v>
      </c>
      <c r="R35" s="52" t="str">
        <f t="shared" si="16"/>
        <v>OK</v>
      </c>
      <c r="S35" s="18">
        <v>766112</v>
      </c>
      <c r="T35" s="17">
        <f t="shared" si="17"/>
        <v>766112</v>
      </c>
      <c r="U35" s="52" t="str">
        <f t="shared" si="18"/>
        <v>OK</v>
      </c>
      <c r="V35" s="18">
        <v>770000</v>
      </c>
      <c r="W35" s="17">
        <f t="shared" si="19"/>
        <v>770000</v>
      </c>
      <c r="X35" s="52" t="str">
        <f t="shared" si="20"/>
        <v>OK</v>
      </c>
      <c r="Y35" s="18">
        <v>764687</v>
      </c>
      <c r="Z35" s="17">
        <f t="shared" si="21"/>
        <v>764687</v>
      </c>
      <c r="AA35" s="52" t="str">
        <f t="shared" si="22"/>
        <v>OK</v>
      </c>
      <c r="AB35" s="18">
        <v>770000</v>
      </c>
      <c r="AC35" s="17">
        <f t="shared" si="23"/>
        <v>770000</v>
      </c>
      <c r="AD35" s="52" t="str">
        <f t="shared" si="24"/>
        <v>OK</v>
      </c>
      <c r="AE35" s="18">
        <v>765688</v>
      </c>
      <c r="AF35" s="17">
        <f t="shared" si="25"/>
        <v>765688</v>
      </c>
      <c r="AG35" s="52" t="str">
        <f t="shared" si="26"/>
        <v>OK</v>
      </c>
      <c r="AH35" s="18">
        <v>765842</v>
      </c>
      <c r="AI35" s="17">
        <f t="shared" si="27"/>
        <v>765842</v>
      </c>
      <c r="AJ35" s="52" t="str">
        <f t="shared" si="28"/>
        <v>OK</v>
      </c>
    </row>
    <row r="36" spans="1:36" ht="51" x14ac:dyDescent="0.25">
      <c r="A36" s="15" t="s">
        <v>271</v>
      </c>
      <c r="B36" s="16" t="s">
        <v>272</v>
      </c>
      <c r="C36" s="15" t="s">
        <v>4</v>
      </c>
      <c r="D36" s="173">
        <v>3</v>
      </c>
      <c r="E36" s="18">
        <v>770000</v>
      </c>
      <c r="F36" s="17">
        <f t="shared" si="9"/>
        <v>2310000</v>
      </c>
      <c r="G36" s="18">
        <v>765603</v>
      </c>
      <c r="H36" s="17">
        <f t="shared" si="10"/>
        <v>2296809</v>
      </c>
      <c r="I36" s="52" t="str">
        <f t="shared" si="11"/>
        <v>OK</v>
      </c>
      <c r="J36" s="18">
        <v>770000</v>
      </c>
      <c r="K36" s="17">
        <f t="shared" si="30"/>
        <v>2310000</v>
      </c>
      <c r="L36" s="52" t="str">
        <f t="shared" si="29"/>
        <v>OK</v>
      </c>
      <c r="M36" s="18">
        <v>763494</v>
      </c>
      <c r="N36" s="17">
        <f t="shared" si="13"/>
        <v>2290482</v>
      </c>
      <c r="O36" s="52" t="str">
        <f t="shared" si="14"/>
        <v>OK</v>
      </c>
      <c r="P36" s="18">
        <v>761915</v>
      </c>
      <c r="Q36" s="17">
        <f t="shared" si="15"/>
        <v>2285745</v>
      </c>
      <c r="R36" s="52" t="str">
        <f t="shared" si="16"/>
        <v>OK</v>
      </c>
      <c r="S36" s="18">
        <v>766112</v>
      </c>
      <c r="T36" s="17">
        <f t="shared" si="17"/>
        <v>2298336</v>
      </c>
      <c r="U36" s="52" t="str">
        <f t="shared" si="18"/>
        <v>OK</v>
      </c>
      <c r="V36" s="18">
        <v>770000</v>
      </c>
      <c r="W36" s="17">
        <f t="shared" si="19"/>
        <v>2310000</v>
      </c>
      <c r="X36" s="52" t="str">
        <f t="shared" si="20"/>
        <v>OK</v>
      </c>
      <c r="Y36" s="18">
        <v>764687</v>
      </c>
      <c r="Z36" s="17">
        <f t="shared" si="21"/>
        <v>2294061</v>
      </c>
      <c r="AA36" s="52" t="str">
        <f t="shared" si="22"/>
        <v>OK</v>
      </c>
      <c r="AB36" s="18">
        <v>770000</v>
      </c>
      <c r="AC36" s="17">
        <f t="shared" si="23"/>
        <v>2310000</v>
      </c>
      <c r="AD36" s="52" t="str">
        <f t="shared" si="24"/>
        <v>OK</v>
      </c>
      <c r="AE36" s="18">
        <v>765688</v>
      </c>
      <c r="AF36" s="17">
        <f t="shared" si="25"/>
        <v>2297064</v>
      </c>
      <c r="AG36" s="52" t="str">
        <f t="shared" si="26"/>
        <v>OK</v>
      </c>
      <c r="AH36" s="18">
        <v>765842</v>
      </c>
      <c r="AI36" s="17">
        <f t="shared" si="27"/>
        <v>2297526</v>
      </c>
      <c r="AJ36" s="52" t="str">
        <f t="shared" si="28"/>
        <v>OK</v>
      </c>
    </row>
    <row r="37" spans="1:36" ht="51" x14ac:dyDescent="0.25">
      <c r="A37" s="15" t="s">
        <v>273</v>
      </c>
      <c r="B37" s="16" t="s">
        <v>274</v>
      </c>
      <c r="C37" s="15" t="s">
        <v>4</v>
      </c>
      <c r="D37" s="173">
        <v>2</v>
      </c>
      <c r="E37" s="18">
        <v>1000000</v>
      </c>
      <c r="F37" s="17">
        <f t="shared" si="9"/>
        <v>2000000</v>
      </c>
      <c r="G37" s="18">
        <v>994290</v>
      </c>
      <c r="H37" s="17">
        <f t="shared" si="10"/>
        <v>1988580</v>
      </c>
      <c r="I37" s="52" t="str">
        <f t="shared" si="11"/>
        <v>OK</v>
      </c>
      <c r="J37" s="18">
        <v>1000000</v>
      </c>
      <c r="K37" s="17">
        <f t="shared" si="30"/>
        <v>2000000</v>
      </c>
      <c r="L37" s="52" t="str">
        <f t="shared" si="29"/>
        <v>OK</v>
      </c>
      <c r="M37" s="18">
        <v>991550</v>
      </c>
      <c r="N37" s="17">
        <f t="shared" si="13"/>
        <v>1983100</v>
      </c>
      <c r="O37" s="52" t="str">
        <f t="shared" si="14"/>
        <v>OK</v>
      </c>
      <c r="P37" s="18">
        <v>989500</v>
      </c>
      <c r="Q37" s="17">
        <f t="shared" si="15"/>
        <v>1979000</v>
      </c>
      <c r="R37" s="52" t="str">
        <f t="shared" si="16"/>
        <v>OK</v>
      </c>
      <c r="S37" s="18">
        <v>994950</v>
      </c>
      <c r="T37" s="17">
        <f t="shared" si="17"/>
        <v>1989900</v>
      </c>
      <c r="U37" s="52" t="str">
        <f t="shared" si="18"/>
        <v>OK</v>
      </c>
      <c r="V37" s="18">
        <v>1000000</v>
      </c>
      <c r="W37" s="17">
        <f t="shared" si="19"/>
        <v>2000000</v>
      </c>
      <c r="X37" s="52" t="str">
        <f t="shared" si="20"/>
        <v>OK</v>
      </c>
      <c r="Y37" s="18">
        <v>993100</v>
      </c>
      <c r="Z37" s="17">
        <f t="shared" si="21"/>
        <v>1986200</v>
      </c>
      <c r="AA37" s="52" t="str">
        <f t="shared" si="22"/>
        <v>OK</v>
      </c>
      <c r="AB37" s="18">
        <v>1000000</v>
      </c>
      <c r="AC37" s="17">
        <f t="shared" si="23"/>
        <v>2000000</v>
      </c>
      <c r="AD37" s="52" t="str">
        <f t="shared" si="24"/>
        <v>OK</v>
      </c>
      <c r="AE37" s="18">
        <v>994400</v>
      </c>
      <c r="AF37" s="17">
        <f t="shared" si="25"/>
        <v>1988800</v>
      </c>
      <c r="AG37" s="52" t="str">
        <f t="shared" si="26"/>
        <v>OK</v>
      </c>
      <c r="AH37" s="18">
        <v>994600</v>
      </c>
      <c r="AI37" s="17">
        <f t="shared" si="27"/>
        <v>1989200</v>
      </c>
      <c r="AJ37" s="52" t="str">
        <f t="shared" si="28"/>
        <v>OK</v>
      </c>
    </row>
    <row r="38" spans="1:36" ht="51" x14ac:dyDescent="0.25">
      <c r="A38" s="15" t="s">
        <v>275</v>
      </c>
      <c r="B38" s="16" t="s">
        <v>276</v>
      </c>
      <c r="C38" s="15" t="s">
        <v>4</v>
      </c>
      <c r="D38" s="173">
        <v>4</v>
      </c>
      <c r="E38" s="18">
        <v>400000</v>
      </c>
      <c r="F38" s="17">
        <f t="shared" si="9"/>
        <v>1600000</v>
      </c>
      <c r="G38" s="18">
        <v>397716</v>
      </c>
      <c r="H38" s="17">
        <f t="shared" si="10"/>
        <v>1590864</v>
      </c>
      <c r="I38" s="52" t="str">
        <f t="shared" si="11"/>
        <v>OK</v>
      </c>
      <c r="J38" s="18">
        <v>400000</v>
      </c>
      <c r="K38" s="17">
        <f t="shared" si="30"/>
        <v>1600000</v>
      </c>
      <c r="L38" s="52" t="str">
        <f t="shared" si="29"/>
        <v>OK</v>
      </c>
      <c r="M38" s="18">
        <v>396620</v>
      </c>
      <c r="N38" s="17">
        <f t="shared" si="13"/>
        <v>1586480</v>
      </c>
      <c r="O38" s="52" t="str">
        <f t="shared" si="14"/>
        <v>OK</v>
      </c>
      <c r="P38" s="18">
        <v>395800</v>
      </c>
      <c r="Q38" s="17">
        <f t="shared" si="15"/>
        <v>1583200</v>
      </c>
      <c r="R38" s="52" t="str">
        <f t="shared" si="16"/>
        <v>OK</v>
      </c>
      <c r="S38" s="18">
        <v>397980</v>
      </c>
      <c r="T38" s="17">
        <f t="shared" si="17"/>
        <v>1591920</v>
      </c>
      <c r="U38" s="52" t="str">
        <f t="shared" si="18"/>
        <v>OK</v>
      </c>
      <c r="V38" s="18">
        <v>400000</v>
      </c>
      <c r="W38" s="17">
        <f t="shared" si="19"/>
        <v>1600000</v>
      </c>
      <c r="X38" s="52" t="str">
        <f t="shared" si="20"/>
        <v>OK</v>
      </c>
      <c r="Y38" s="18">
        <v>397240</v>
      </c>
      <c r="Z38" s="17">
        <f t="shared" si="21"/>
        <v>1588960</v>
      </c>
      <c r="AA38" s="52" t="str">
        <f t="shared" si="22"/>
        <v>OK</v>
      </c>
      <c r="AB38" s="18">
        <v>400000</v>
      </c>
      <c r="AC38" s="17">
        <f t="shared" si="23"/>
        <v>1600000</v>
      </c>
      <c r="AD38" s="52" t="str">
        <f t="shared" si="24"/>
        <v>OK</v>
      </c>
      <c r="AE38" s="18">
        <v>397760</v>
      </c>
      <c r="AF38" s="17">
        <f t="shared" si="25"/>
        <v>1591040</v>
      </c>
      <c r="AG38" s="52" t="str">
        <f t="shared" si="26"/>
        <v>OK</v>
      </c>
      <c r="AH38" s="18">
        <v>397840</v>
      </c>
      <c r="AI38" s="17">
        <f t="shared" si="27"/>
        <v>1591360</v>
      </c>
      <c r="AJ38" s="52" t="str">
        <f t="shared" si="28"/>
        <v>OK</v>
      </c>
    </row>
    <row r="39" spans="1:36" ht="127.5" x14ac:dyDescent="0.25">
      <c r="A39" s="15" t="s">
        <v>277</v>
      </c>
      <c r="B39" s="16" t="s">
        <v>278</v>
      </c>
      <c r="C39" s="15" t="s">
        <v>4</v>
      </c>
      <c r="D39" s="173">
        <v>3</v>
      </c>
      <c r="E39" s="18">
        <v>2730000</v>
      </c>
      <c r="F39" s="17">
        <f t="shared" si="9"/>
        <v>8190000</v>
      </c>
      <c r="G39" s="18">
        <v>2714412</v>
      </c>
      <c r="H39" s="17">
        <f t="shared" si="10"/>
        <v>8143236</v>
      </c>
      <c r="I39" s="52" t="str">
        <f t="shared" si="11"/>
        <v>OK</v>
      </c>
      <c r="J39" s="18">
        <v>2730000</v>
      </c>
      <c r="K39" s="17">
        <f t="shared" si="30"/>
        <v>8190000</v>
      </c>
      <c r="L39" s="52" t="str">
        <f t="shared" si="29"/>
        <v>OK</v>
      </c>
      <c r="M39" s="18">
        <v>2706932</v>
      </c>
      <c r="N39" s="17">
        <f t="shared" si="13"/>
        <v>8120796</v>
      </c>
      <c r="O39" s="52" t="str">
        <f t="shared" si="14"/>
        <v>OK</v>
      </c>
      <c r="P39" s="18">
        <v>2701335</v>
      </c>
      <c r="Q39" s="17">
        <f t="shared" si="15"/>
        <v>8104005</v>
      </c>
      <c r="R39" s="52" t="str">
        <f t="shared" si="16"/>
        <v>OK</v>
      </c>
      <c r="S39" s="18">
        <v>2716214</v>
      </c>
      <c r="T39" s="17">
        <f t="shared" si="17"/>
        <v>8148642</v>
      </c>
      <c r="U39" s="52" t="str">
        <f t="shared" si="18"/>
        <v>OK</v>
      </c>
      <c r="V39" s="18">
        <v>2700000</v>
      </c>
      <c r="W39" s="17">
        <f t="shared" si="19"/>
        <v>8100000</v>
      </c>
      <c r="X39" s="52" t="str">
        <f t="shared" si="20"/>
        <v>OK</v>
      </c>
      <c r="Y39" s="18">
        <v>2711163</v>
      </c>
      <c r="Z39" s="17">
        <f t="shared" si="21"/>
        <v>8133489</v>
      </c>
      <c r="AA39" s="52" t="str">
        <f t="shared" si="22"/>
        <v>OK</v>
      </c>
      <c r="AB39" s="18">
        <v>2730000</v>
      </c>
      <c r="AC39" s="17">
        <f t="shared" si="23"/>
        <v>8190000</v>
      </c>
      <c r="AD39" s="52" t="str">
        <f t="shared" si="24"/>
        <v>OK</v>
      </c>
      <c r="AE39" s="18">
        <v>2714712</v>
      </c>
      <c r="AF39" s="17">
        <f t="shared" si="25"/>
        <v>8144136</v>
      </c>
      <c r="AG39" s="52" t="str">
        <f t="shared" si="26"/>
        <v>OK</v>
      </c>
      <c r="AH39" s="18">
        <v>2715258</v>
      </c>
      <c r="AI39" s="17">
        <f t="shared" si="27"/>
        <v>8145774</v>
      </c>
      <c r="AJ39" s="52" t="str">
        <f t="shared" si="28"/>
        <v>OK</v>
      </c>
    </row>
    <row r="40" spans="1:36" ht="89.25" x14ac:dyDescent="0.25">
      <c r="A40" s="15" t="s">
        <v>279</v>
      </c>
      <c r="B40" s="16" t="s">
        <v>280</v>
      </c>
      <c r="C40" s="15" t="s">
        <v>4</v>
      </c>
      <c r="D40" s="173">
        <v>18</v>
      </c>
      <c r="E40" s="18">
        <v>1470000</v>
      </c>
      <c r="F40" s="17">
        <f t="shared" si="9"/>
        <v>26460000</v>
      </c>
      <c r="G40" s="18">
        <v>1461606</v>
      </c>
      <c r="H40" s="17">
        <f t="shared" si="10"/>
        <v>26308908</v>
      </c>
      <c r="I40" s="52" t="str">
        <f t="shared" si="11"/>
        <v>OK</v>
      </c>
      <c r="J40" s="18">
        <v>1470000</v>
      </c>
      <c r="K40" s="17">
        <f t="shared" si="30"/>
        <v>26460000</v>
      </c>
      <c r="L40" s="52" t="str">
        <f t="shared" si="29"/>
        <v>OK</v>
      </c>
      <c r="M40" s="18">
        <v>1457579</v>
      </c>
      <c r="N40" s="17">
        <f t="shared" si="13"/>
        <v>26236422</v>
      </c>
      <c r="O40" s="52" t="str">
        <f t="shared" si="14"/>
        <v>OK</v>
      </c>
      <c r="P40" s="18">
        <v>1454565</v>
      </c>
      <c r="Q40" s="17">
        <f t="shared" si="15"/>
        <v>26182170</v>
      </c>
      <c r="R40" s="52" t="str">
        <f t="shared" si="16"/>
        <v>OK</v>
      </c>
      <c r="S40" s="18">
        <v>1462577</v>
      </c>
      <c r="T40" s="17">
        <f t="shared" si="17"/>
        <v>26326386</v>
      </c>
      <c r="U40" s="52" t="str">
        <f t="shared" si="18"/>
        <v>OK</v>
      </c>
      <c r="V40" s="18">
        <v>1460000</v>
      </c>
      <c r="W40" s="17">
        <f t="shared" si="19"/>
        <v>26280000</v>
      </c>
      <c r="X40" s="52" t="str">
        <f t="shared" si="20"/>
        <v>OK</v>
      </c>
      <c r="Y40" s="18">
        <v>1459857</v>
      </c>
      <c r="Z40" s="17">
        <f t="shared" si="21"/>
        <v>26277426</v>
      </c>
      <c r="AA40" s="52" t="str">
        <f t="shared" si="22"/>
        <v>OK</v>
      </c>
      <c r="AB40" s="18">
        <v>1420000</v>
      </c>
      <c r="AC40" s="17">
        <f t="shared" si="23"/>
        <v>25560000</v>
      </c>
      <c r="AD40" s="52" t="str">
        <f t="shared" si="24"/>
        <v>OK</v>
      </c>
      <c r="AE40" s="18">
        <v>1461768</v>
      </c>
      <c r="AF40" s="17">
        <f t="shared" si="25"/>
        <v>26311824</v>
      </c>
      <c r="AG40" s="52" t="str">
        <f t="shared" si="26"/>
        <v>OK</v>
      </c>
      <c r="AH40" s="18">
        <v>1462062</v>
      </c>
      <c r="AI40" s="17">
        <f t="shared" si="27"/>
        <v>26317116</v>
      </c>
      <c r="AJ40" s="52" t="str">
        <f t="shared" si="28"/>
        <v>OK</v>
      </c>
    </row>
    <row r="41" spans="1:36" ht="89.25" x14ac:dyDescent="0.25">
      <c r="A41" s="15" t="s">
        <v>281</v>
      </c>
      <c r="B41" s="16" t="s">
        <v>282</v>
      </c>
      <c r="C41" s="15" t="s">
        <v>4</v>
      </c>
      <c r="D41" s="173">
        <v>15</v>
      </c>
      <c r="E41" s="18">
        <v>1050000</v>
      </c>
      <c r="F41" s="17">
        <f t="shared" si="9"/>
        <v>15750000</v>
      </c>
      <c r="G41" s="18">
        <v>1044005</v>
      </c>
      <c r="H41" s="17">
        <f t="shared" si="10"/>
        <v>15660075</v>
      </c>
      <c r="I41" s="52" t="str">
        <f t="shared" si="11"/>
        <v>OK</v>
      </c>
      <c r="J41" s="18">
        <v>1050000</v>
      </c>
      <c r="K41" s="17">
        <f t="shared" si="30"/>
        <v>15750000</v>
      </c>
      <c r="L41" s="52" t="str">
        <f t="shared" si="29"/>
        <v>OK</v>
      </c>
      <c r="M41" s="18">
        <v>1041128</v>
      </c>
      <c r="N41" s="17">
        <f t="shared" si="13"/>
        <v>15616920</v>
      </c>
      <c r="O41" s="52" t="str">
        <f t="shared" si="14"/>
        <v>OK</v>
      </c>
      <c r="P41" s="18">
        <v>1038975</v>
      </c>
      <c r="Q41" s="17">
        <f t="shared" si="15"/>
        <v>15584625</v>
      </c>
      <c r="R41" s="52" t="str">
        <f t="shared" si="16"/>
        <v>OK</v>
      </c>
      <c r="S41" s="18">
        <v>1044698</v>
      </c>
      <c r="T41" s="17">
        <f t="shared" si="17"/>
        <v>15670470</v>
      </c>
      <c r="U41" s="52" t="str">
        <f t="shared" si="18"/>
        <v>OK</v>
      </c>
      <c r="V41" s="18">
        <v>1020000</v>
      </c>
      <c r="W41" s="17">
        <f t="shared" si="19"/>
        <v>15300000</v>
      </c>
      <c r="X41" s="52" t="str">
        <f t="shared" si="20"/>
        <v>OK</v>
      </c>
      <c r="Y41" s="18">
        <v>1042755</v>
      </c>
      <c r="Z41" s="17">
        <f t="shared" si="21"/>
        <v>15641325</v>
      </c>
      <c r="AA41" s="52" t="str">
        <f t="shared" si="22"/>
        <v>OK</v>
      </c>
      <c r="AB41" s="18">
        <v>1050000</v>
      </c>
      <c r="AC41" s="17">
        <f t="shared" si="23"/>
        <v>15750000</v>
      </c>
      <c r="AD41" s="52" t="str">
        <f t="shared" si="24"/>
        <v>OK</v>
      </c>
      <c r="AE41" s="18">
        <v>1044120</v>
      </c>
      <c r="AF41" s="17">
        <f t="shared" si="25"/>
        <v>15661800</v>
      </c>
      <c r="AG41" s="52" t="str">
        <f t="shared" si="26"/>
        <v>OK</v>
      </c>
      <c r="AH41" s="18">
        <v>1044330</v>
      </c>
      <c r="AI41" s="17">
        <f t="shared" si="27"/>
        <v>15664950</v>
      </c>
      <c r="AJ41" s="52" t="str">
        <f t="shared" si="28"/>
        <v>OK</v>
      </c>
    </row>
    <row r="42" spans="1:36" ht="89.25" x14ac:dyDescent="0.25">
      <c r="A42" s="15" t="s">
        <v>283</v>
      </c>
      <c r="B42" s="16" t="s">
        <v>284</v>
      </c>
      <c r="C42" s="15" t="s">
        <v>4</v>
      </c>
      <c r="D42" s="173">
        <v>2</v>
      </c>
      <c r="E42" s="18">
        <v>1070000</v>
      </c>
      <c r="F42" s="17">
        <f t="shared" si="9"/>
        <v>2140000</v>
      </c>
      <c r="G42" s="18">
        <v>1063890</v>
      </c>
      <c r="H42" s="17">
        <f t="shared" si="10"/>
        <v>2127780</v>
      </c>
      <c r="I42" s="52" t="str">
        <f t="shared" si="11"/>
        <v>OK</v>
      </c>
      <c r="J42" s="18">
        <v>1070000</v>
      </c>
      <c r="K42" s="17">
        <f t="shared" si="30"/>
        <v>2140000</v>
      </c>
      <c r="L42" s="52" t="str">
        <f t="shared" si="29"/>
        <v>OK</v>
      </c>
      <c r="M42" s="18">
        <v>1060959</v>
      </c>
      <c r="N42" s="17">
        <f t="shared" si="13"/>
        <v>2121918</v>
      </c>
      <c r="O42" s="52" t="str">
        <f t="shared" si="14"/>
        <v>OK</v>
      </c>
      <c r="P42" s="18">
        <v>1058765</v>
      </c>
      <c r="Q42" s="17">
        <f t="shared" si="15"/>
        <v>2117530</v>
      </c>
      <c r="R42" s="52" t="str">
        <f t="shared" si="16"/>
        <v>OK</v>
      </c>
      <c r="S42" s="18">
        <v>1064597</v>
      </c>
      <c r="T42" s="17">
        <f t="shared" si="17"/>
        <v>2129194</v>
      </c>
      <c r="U42" s="52" t="str">
        <f t="shared" si="18"/>
        <v>OK</v>
      </c>
      <c r="V42" s="18">
        <v>1070000</v>
      </c>
      <c r="W42" s="17">
        <f t="shared" si="19"/>
        <v>2140000</v>
      </c>
      <c r="X42" s="52" t="str">
        <f t="shared" si="20"/>
        <v>OK</v>
      </c>
      <c r="Y42" s="18">
        <v>1062617</v>
      </c>
      <c r="Z42" s="17">
        <f t="shared" si="21"/>
        <v>2125234</v>
      </c>
      <c r="AA42" s="52" t="str">
        <f t="shared" si="22"/>
        <v>OK</v>
      </c>
      <c r="AB42" s="18">
        <v>1070000</v>
      </c>
      <c r="AC42" s="17">
        <f t="shared" si="23"/>
        <v>2140000</v>
      </c>
      <c r="AD42" s="52" t="str">
        <f t="shared" si="24"/>
        <v>OK</v>
      </c>
      <c r="AE42" s="18">
        <v>1064008</v>
      </c>
      <c r="AF42" s="17">
        <f t="shared" si="25"/>
        <v>2128016</v>
      </c>
      <c r="AG42" s="52" t="str">
        <f t="shared" si="26"/>
        <v>OK</v>
      </c>
      <c r="AH42" s="18">
        <v>1064222</v>
      </c>
      <c r="AI42" s="17">
        <f t="shared" si="27"/>
        <v>2128444</v>
      </c>
      <c r="AJ42" s="52" t="str">
        <f t="shared" si="28"/>
        <v>OK</v>
      </c>
    </row>
    <row r="43" spans="1:36" ht="114.75" x14ac:dyDescent="0.25">
      <c r="A43" s="15" t="s">
        <v>285</v>
      </c>
      <c r="B43" s="16" t="s">
        <v>286</v>
      </c>
      <c r="C43" s="15" t="s">
        <v>4</v>
      </c>
      <c r="D43" s="173">
        <v>2</v>
      </c>
      <c r="E43" s="18">
        <v>1580000</v>
      </c>
      <c r="F43" s="17">
        <f t="shared" si="9"/>
        <v>3160000</v>
      </c>
      <c r="G43" s="18">
        <v>1570978</v>
      </c>
      <c r="H43" s="17">
        <f t="shared" si="10"/>
        <v>3141956</v>
      </c>
      <c r="I43" s="52" t="str">
        <f t="shared" si="11"/>
        <v>OK</v>
      </c>
      <c r="J43" s="18">
        <v>1580000</v>
      </c>
      <c r="K43" s="17">
        <f t="shared" si="30"/>
        <v>3160000</v>
      </c>
      <c r="L43" s="52" t="str">
        <f t="shared" si="29"/>
        <v>OK</v>
      </c>
      <c r="M43" s="18">
        <v>1566649</v>
      </c>
      <c r="N43" s="17">
        <f t="shared" si="13"/>
        <v>3133298</v>
      </c>
      <c r="O43" s="52" t="str">
        <f t="shared" si="14"/>
        <v>OK</v>
      </c>
      <c r="P43" s="18">
        <v>1563410</v>
      </c>
      <c r="Q43" s="17">
        <f t="shared" si="15"/>
        <v>3126820</v>
      </c>
      <c r="R43" s="52" t="str">
        <f t="shared" si="16"/>
        <v>OK</v>
      </c>
      <c r="S43" s="18">
        <v>1572021</v>
      </c>
      <c r="T43" s="17">
        <f t="shared" si="17"/>
        <v>3144042</v>
      </c>
      <c r="U43" s="52" t="str">
        <f t="shared" si="18"/>
        <v>OK</v>
      </c>
      <c r="V43" s="18">
        <v>1580000</v>
      </c>
      <c r="W43" s="17">
        <f t="shared" si="19"/>
        <v>3160000</v>
      </c>
      <c r="X43" s="52" t="str">
        <f t="shared" si="20"/>
        <v>OK</v>
      </c>
      <c r="Y43" s="18">
        <v>1569098</v>
      </c>
      <c r="Z43" s="17">
        <f t="shared" si="21"/>
        <v>3138196</v>
      </c>
      <c r="AA43" s="52" t="str">
        <f t="shared" si="22"/>
        <v>OK</v>
      </c>
      <c r="AB43" s="18">
        <v>1580000</v>
      </c>
      <c r="AC43" s="17">
        <f t="shared" si="23"/>
        <v>3160000</v>
      </c>
      <c r="AD43" s="52" t="str">
        <f t="shared" si="24"/>
        <v>OK</v>
      </c>
      <c r="AE43" s="18">
        <v>1571152</v>
      </c>
      <c r="AF43" s="17">
        <f t="shared" si="25"/>
        <v>3142304</v>
      </c>
      <c r="AG43" s="52" t="str">
        <f t="shared" si="26"/>
        <v>OK</v>
      </c>
      <c r="AH43" s="18">
        <v>1571468</v>
      </c>
      <c r="AI43" s="17">
        <f t="shared" si="27"/>
        <v>3142936</v>
      </c>
      <c r="AJ43" s="52" t="str">
        <f t="shared" si="28"/>
        <v>OK</v>
      </c>
    </row>
    <row r="44" spans="1:36" ht="76.5" x14ac:dyDescent="0.25">
      <c r="A44" s="15" t="s">
        <v>287</v>
      </c>
      <c r="B44" s="16" t="s">
        <v>288</v>
      </c>
      <c r="C44" s="15" t="s">
        <v>4</v>
      </c>
      <c r="D44" s="173">
        <v>2</v>
      </c>
      <c r="E44" s="18">
        <v>910000</v>
      </c>
      <c r="F44" s="17">
        <f t="shared" si="9"/>
        <v>1820000</v>
      </c>
      <c r="G44" s="18">
        <v>904804</v>
      </c>
      <c r="H44" s="17">
        <f t="shared" si="10"/>
        <v>1809608</v>
      </c>
      <c r="I44" s="52" t="str">
        <f t="shared" si="11"/>
        <v>OK</v>
      </c>
      <c r="J44" s="18">
        <v>910000</v>
      </c>
      <c r="K44" s="17">
        <f t="shared" si="30"/>
        <v>1820000</v>
      </c>
      <c r="L44" s="52" t="str">
        <f t="shared" si="29"/>
        <v>OK</v>
      </c>
      <c r="M44" s="18">
        <v>902311</v>
      </c>
      <c r="N44" s="17">
        <f t="shared" si="13"/>
        <v>1804622</v>
      </c>
      <c r="O44" s="52" t="str">
        <f t="shared" si="14"/>
        <v>OK</v>
      </c>
      <c r="P44" s="18">
        <v>900445</v>
      </c>
      <c r="Q44" s="17">
        <f t="shared" si="15"/>
        <v>1800890</v>
      </c>
      <c r="R44" s="52" t="str">
        <f t="shared" si="16"/>
        <v>OK</v>
      </c>
      <c r="S44" s="18">
        <v>905405</v>
      </c>
      <c r="T44" s="17">
        <f t="shared" si="17"/>
        <v>1810810</v>
      </c>
      <c r="U44" s="52" t="str">
        <f t="shared" si="18"/>
        <v>OK</v>
      </c>
      <c r="V44" s="18">
        <v>910000</v>
      </c>
      <c r="W44" s="17">
        <f t="shared" si="19"/>
        <v>1820000</v>
      </c>
      <c r="X44" s="52" t="str">
        <f t="shared" si="20"/>
        <v>OK</v>
      </c>
      <c r="Y44" s="18">
        <v>903721</v>
      </c>
      <c r="Z44" s="17">
        <f t="shared" si="21"/>
        <v>1807442</v>
      </c>
      <c r="AA44" s="52" t="str">
        <f t="shared" si="22"/>
        <v>OK</v>
      </c>
      <c r="AB44" s="18">
        <v>910000</v>
      </c>
      <c r="AC44" s="17">
        <f t="shared" si="23"/>
        <v>1820000</v>
      </c>
      <c r="AD44" s="52" t="str">
        <f t="shared" si="24"/>
        <v>OK</v>
      </c>
      <c r="AE44" s="18">
        <v>904904</v>
      </c>
      <c r="AF44" s="17">
        <f t="shared" si="25"/>
        <v>1809808</v>
      </c>
      <c r="AG44" s="52" t="str">
        <f t="shared" si="26"/>
        <v>OK</v>
      </c>
      <c r="AH44" s="18">
        <v>905086</v>
      </c>
      <c r="AI44" s="17">
        <f t="shared" si="27"/>
        <v>1810172</v>
      </c>
      <c r="AJ44" s="52" t="str">
        <f t="shared" si="28"/>
        <v>OK</v>
      </c>
    </row>
    <row r="45" spans="1:36" ht="127.5" x14ac:dyDescent="0.25">
      <c r="A45" s="15" t="s">
        <v>289</v>
      </c>
      <c r="B45" s="16" t="s">
        <v>290</v>
      </c>
      <c r="C45" s="15" t="s">
        <v>4</v>
      </c>
      <c r="D45" s="173">
        <v>2</v>
      </c>
      <c r="E45" s="18">
        <v>3750000</v>
      </c>
      <c r="F45" s="17">
        <f t="shared" si="9"/>
        <v>7500000</v>
      </c>
      <c r="G45" s="18">
        <v>3728588</v>
      </c>
      <c r="H45" s="17">
        <f t="shared" si="10"/>
        <v>7457176</v>
      </c>
      <c r="I45" s="52" t="str">
        <f t="shared" si="11"/>
        <v>OK</v>
      </c>
      <c r="J45" s="18">
        <v>3750000</v>
      </c>
      <c r="K45" s="17">
        <f t="shared" si="30"/>
        <v>7500000</v>
      </c>
      <c r="L45" s="52" t="str">
        <f t="shared" si="29"/>
        <v>OK</v>
      </c>
      <c r="M45" s="18">
        <v>3718313</v>
      </c>
      <c r="N45" s="17">
        <f t="shared" si="13"/>
        <v>7436626</v>
      </c>
      <c r="O45" s="52" t="str">
        <f t="shared" si="14"/>
        <v>OK</v>
      </c>
      <c r="P45" s="18">
        <v>3710625</v>
      </c>
      <c r="Q45" s="17">
        <f t="shared" si="15"/>
        <v>7421250</v>
      </c>
      <c r="R45" s="52" t="str">
        <f t="shared" si="16"/>
        <v>OK</v>
      </c>
      <c r="S45" s="18">
        <v>3731063</v>
      </c>
      <c r="T45" s="17">
        <f t="shared" si="17"/>
        <v>7462126</v>
      </c>
      <c r="U45" s="52" t="str">
        <f t="shared" si="18"/>
        <v>OK</v>
      </c>
      <c r="V45" s="18">
        <v>3730000</v>
      </c>
      <c r="W45" s="17">
        <f t="shared" si="19"/>
        <v>7460000</v>
      </c>
      <c r="X45" s="52" t="str">
        <f t="shared" si="20"/>
        <v>OK</v>
      </c>
      <c r="Y45" s="18">
        <v>3724125</v>
      </c>
      <c r="Z45" s="17">
        <f t="shared" si="21"/>
        <v>7448250</v>
      </c>
      <c r="AA45" s="52" t="str">
        <f t="shared" si="22"/>
        <v>OK</v>
      </c>
      <c r="AB45" s="18">
        <v>3750000</v>
      </c>
      <c r="AC45" s="17">
        <f t="shared" si="23"/>
        <v>7500000</v>
      </c>
      <c r="AD45" s="52" t="str">
        <f t="shared" si="24"/>
        <v>OK</v>
      </c>
      <c r="AE45" s="18">
        <v>3729000</v>
      </c>
      <c r="AF45" s="17">
        <f t="shared" si="25"/>
        <v>7458000</v>
      </c>
      <c r="AG45" s="52" t="str">
        <f t="shared" si="26"/>
        <v>OK</v>
      </c>
      <c r="AH45" s="18">
        <v>3729750</v>
      </c>
      <c r="AI45" s="17">
        <f t="shared" si="27"/>
        <v>7459500</v>
      </c>
      <c r="AJ45" s="52" t="str">
        <f t="shared" si="28"/>
        <v>OK</v>
      </c>
    </row>
    <row r="46" spans="1:36" ht="76.5" x14ac:dyDescent="0.25">
      <c r="A46" s="15" t="s">
        <v>291</v>
      </c>
      <c r="B46" s="16" t="s">
        <v>292</v>
      </c>
      <c r="C46" s="15" t="s">
        <v>4</v>
      </c>
      <c r="D46" s="173">
        <v>2</v>
      </c>
      <c r="E46" s="18">
        <v>6050000</v>
      </c>
      <c r="F46" s="17">
        <f t="shared" si="9"/>
        <v>12100000</v>
      </c>
      <c r="G46" s="18">
        <v>6015455</v>
      </c>
      <c r="H46" s="17">
        <f t="shared" si="10"/>
        <v>12030910</v>
      </c>
      <c r="I46" s="52" t="str">
        <f t="shared" si="11"/>
        <v>OK</v>
      </c>
      <c r="J46" s="18">
        <v>6050000</v>
      </c>
      <c r="K46" s="17">
        <f t="shared" si="30"/>
        <v>12100000</v>
      </c>
      <c r="L46" s="52" t="str">
        <f t="shared" si="29"/>
        <v>OK</v>
      </c>
      <c r="M46" s="18">
        <v>5998878</v>
      </c>
      <c r="N46" s="17">
        <f t="shared" si="13"/>
        <v>11997756</v>
      </c>
      <c r="O46" s="52" t="str">
        <f t="shared" si="14"/>
        <v>OK</v>
      </c>
      <c r="P46" s="18">
        <v>5986475</v>
      </c>
      <c r="Q46" s="17">
        <f t="shared" si="15"/>
        <v>11972950</v>
      </c>
      <c r="R46" s="52" t="str">
        <f t="shared" si="16"/>
        <v>OK</v>
      </c>
      <c r="S46" s="18">
        <v>6019448</v>
      </c>
      <c r="T46" s="17">
        <f t="shared" si="17"/>
        <v>12038896</v>
      </c>
      <c r="U46" s="52" t="str">
        <f t="shared" si="18"/>
        <v>OK</v>
      </c>
      <c r="V46" s="18">
        <v>6000000</v>
      </c>
      <c r="W46" s="17">
        <f t="shared" si="19"/>
        <v>12000000</v>
      </c>
      <c r="X46" s="52" t="str">
        <f t="shared" si="20"/>
        <v>OK</v>
      </c>
      <c r="Y46" s="18">
        <v>6008255</v>
      </c>
      <c r="Z46" s="17">
        <f t="shared" si="21"/>
        <v>12016510</v>
      </c>
      <c r="AA46" s="52" t="str">
        <f t="shared" si="22"/>
        <v>OK</v>
      </c>
      <c r="AB46" s="18">
        <v>6050000</v>
      </c>
      <c r="AC46" s="17">
        <f t="shared" si="23"/>
        <v>12100000</v>
      </c>
      <c r="AD46" s="52" t="str">
        <f t="shared" si="24"/>
        <v>OK</v>
      </c>
      <c r="AE46" s="18">
        <v>6016120</v>
      </c>
      <c r="AF46" s="17">
        <f t="shared" si="25"/>
        <v>12032240</v>
      </c>
      <c r="AG46" s="52" t="str">
        <f t="shared" si="26"/>
        <v>OK</v>
      </c>
      <c r="AH46" s="18">
        <v>6017330</v>
      </c>
      <c r="AI46" s="17">
        <f t="shared" si="27"/>
        <v>12034660</v>
      </c>
      <c r="AJ46" s="52" t="str">
        <f t="shared" si="28"/>
        <v>OK</v>
      </c>
    </row>
    <row r="47" spans="1:36" ht="76.5" x14ac:dyDescent="0.25">
      <c r="A47" s="15" t="s">
        <v>293</v>
      </c>
      <c r="B47" s="16" t="s">
        <v>294</v>
      </c>
      <c r="C47" s="15" t="s">
        <v>4</v>
      </c>
      <c r="D47" s="173">
        <v>2</v>
      </c>
      <c r="E47" s="18">
        <v>4100000</v>
      </c>
      <c r="F47" s="17">
        <f t="shared" si="9"/>
        <v>8200000</v>
      </c>
      <c r="G47" s="18">
        <v>4076589</v>
      </c>
      <c r="H47" s="17">
        <f t="shared" si="10"/>
        <v>8153178</v>
      </c>
      <c r="I47" s="52" t="str">
        <f t="shared" si="11"/>
        <v>OK</v>
      </c>
      <c r="J47" s="18">
        <v>4100000</v>
      </c>
      <c r="K47" s="17">
        <f t="shared" si="30"/>
        <v>8200000</v>
      </c>
      <c r="L47" s="52" t="str">
        <f t="shared" si="29"/>
        <v>OK</v>
      </c>
      <c r="M47" s="18">
        <v>4065355</v>
      </c>
      <c r="N47" s="17">
        <f t="shared" si="13"/>
        <v>8130710</v>
      </c>
      <c r="O47" s="52" t="str">
        <f t="shared" si="14"/>
        <v>OK</v>
      </c>
      <c r="P47" s="18">
        <v>4056950</v>
      </c>
      <c r="Q47" s="17">
        <f t="shared" si="15"/>
        <v>8113900</v>
      </c>
      <c r="R47" s="52" t="str">
        <f t="shared" si="16"/>
        <v>OK</v>
      </c>
      <c r="S47" s="18">
        <v>4079295</v>
      </c>
      <c r="T47" s="17">
        <f t="shared" si="17"/>
        <v>8158590</v>
      </c>
      <c r="U47" s="52" t="str">
        <f t="shared" si="18"/>
        <v>OK</v>
      </c>
      <c r="V47" s="18">
        <v>4100000</v>
      </c>
      <c r="W47" s="17">
        <f t="shared" si="19"/>
        <v>8200000</v>
      </c>
      <c r="X47" s="52" t="str">
        <f t="shared" si="20"/>
        <v>OK</v>
      </c>
      <c r="Y47" s="18">
        <v>4071710</v>
      </c>
      <c r="Z47" s="17">
        <f t="shared" si="21"/>
        <v>8143420</v>
      </c>
      <c r="AA47" s="52" t="str">
        <f t="shared" si="22"/>
        <v>OK</v>
      </c>
      <c r="AB47" s="18">
        <v>4100000</v>
      </c>
      <c r="AC47" s="17">
        <f t="shared" si="23"/>
        <v>8200000</v>
      </c>
      <c r="AD47" s="52" t="str">
        <f t="shared" si="24"/>
        <v>OK</v>
      </c>
      <c r="AE47" s="18">
        <v>4077040</v>
      </c>
      <c r="AF47" s="17">
        <f t="shared" si="25"/>
        <v>8154080</v>
      </c>
      <c r="AG47" s="52" t="str">
        <f t="shared" si="26"/>
        <v>OK</v>
      </c>
      <c r="AH47" s="18">
        <v>4077860</v>
      </c>
      <c r="AI47" s="17">
        <f t="shared" si="27"/>
        <v>8155720</v>
      </c>
      <c r="AJ47" s="52" t="str">
        <f t="shared" si="28"/>
        <v>OK</v>
      </c>
    </row>
    <row r="48" spans="1:36" ht="140.25" x14ac:dyDescent="0.25">
      <c r="A48" s="15" t="s">
        <v>295</v>
      </c>
      <c r="B48" s="16" t="s">
        <v>296</v>
      </c>
      <c r="C48" s="15" t="s">
        <v>4</v>
      </c>
      <c r="D48" s="173">
        <v>1</v>
      </c>
      <c r="E48" s="18">
        <v>4100000</v>
      </c>
      <c r="F48" s="17">
        <f t="shared" si="9"/>
        <v>4100000</v>
      </c>
      <c r="G48" s="18">
        <v>4076589</v>
      </c>
      <c r="H48" s="17">
        <f t="shared" si="10"/>
        <v>4076589</v>
      </c>
      <c r="I48" s="52" t="str">
        <f t="shared" si="11"/>
        <v>OK</v>
      </c>
      <c r="J48" s="18">
        <v>4100000</v>
      </c>
      <c r="K48" s="17">
        <f t="shared" si="30"/>
        <v>4100000</v>
      </c>
      <c r="L48" s="52" t="str">
        <f t="shared" si="29"/>
        <v>OK</v>
      </c>
      <c r="M48" s="18">
        <v>4065355</v>
      </c>
      <c r="N48" s="17">
        <f t="shared" si="13"/>
        <v>4065355</v>
      </c>
      <c r="O48" s="52" t="str">
        <f t="shared" si="14"/>
        <v>OK</v>
      </c>
      <c r="P48" s="18">
        <v>4056950</v>
      </c>
      <c r="Q48" s="17">
        <f t="shared" si="15"/>
        <v>4056950</v>
      </c>
      <c r="R48" s="52" t="str">
        <f t="shared" si="16"/>
        <v>OK</v>
      </c>
      <c r="S48" s="18">
        <v>4079295</v>
      </c>
      <c r="T48" s="17">
        <f t="shared" si="17"/>
        <v>4079295</v>
      </c>
      <c r="U48" s="52" t="str">
        <f t="shared" si="18"/>
        <v>OK</v>
      </c>
      <c r="V48" s="18">
        <v>4100000</v>
      </c>
      <c r="W48" s="17">
        <f t="shared" si="19"/>
        <v>4100000</v>
      </c>
      <c r="X48" s="52" t="str">
        <f t="shared" si="20"/>
        <v>OK</v>
      </c>
      <c r="Y48" s="18">
        <v>4071710</v>
      </c>
      <c r="Z48" s="17">
        <f t="shared" si="21"/>
        <v>4071710</v>
      </c>
      <c r="AA48" s="52" t="str">
        <f t="shared" si="22"/>
        <v>OK</v>
      </c>
      <c r="AB48" s="18">
        <v>4100000</v>
      </c>
      <c r="AC48" s="17">
        <f t="shared" si="23"/>
        <v>4100000</v>
      </c>
      <c r="AD48" s="52" t="str">
        <f t="shared" si="24"/>
        <v>OK</v>
      </c>
      <c r="AE48" s="18">
        <v>4077040</v>
      </c>
      <c r="AF48" s="17">
        <f t="shared" si="25"/>
        <v>4077040</v>
      </c>
      <c r="AG48" s="52" t="str">
        <f t="shared" si="26"/>
        <v>OK</v>
      </c>
      <c r="AH48" s="18">
        <v>4077860</v>
      </c>
      <c r="AI48" s="17">
        <f t="shared" si="27"/>
        <v>4077860</v>
      </c>
      <c r="AJ48" s="52" t="str">
        <f t="shared" si="28"/>
        <v>OK</v>
      </c>
    </row>
    <row r="49" spans="1:39" ht="76.5" x14ac:dyDescent="0.25">
      <c r="A49" s="15" t="s">
        <v>297</v>
      </c>
      <c r="B49" s="16" t="s">
        <v>298</v>
      </c>
      <c r="C49" s="15" t="s">
        <v>4</v>
      </c>
      <c r="D49" s="173">
        <v>2</v>
      </c>
      <c r="E49" s="18">
        <v>4100000</v>
      </c>
      <c r="F49" s="17">
        <f t="shared" si="9"/>
        <v>8200000</v>
      </c>
      <c r="G49" s="18">
        <v>4076589</v>
      </c>
      <c r="H49" s="17">
        <f t="shared" si="10"/>
        <v>8153178</v>
      </c>
      <c r="I49" s="52" t="str">
        <f t="shared" si="11"/>
        <v>OK</v>
      </c>
      <c r="J49" s="18">
        <v>4100000</v>
      </c>
      <c r="K49" s="17">
        <f t="shared" si="30"/>
        <v>8200000</v>
      </c>
      <c r="L49" s="52" t="str">
        <f t="shared" si="29"/>
        <v>OK</v>
      </c>
      <c r="M49" s="18">
        <v>4065355</v>
      </c>
      <c r="N49" s="17">
        <f t="shared" si="13"/>
        <v>8130710</v>
      </c>
      <c r="O49" s="52" t="str">
        <f t="shared" si="14"/>
        <v>OK</v>
      </c>
      <c r="P49" s="18">
        <v>4056950</v>
      </c>
      <c r="Q49" s="17">
        <f t="shared" si="15"/>
        <v>8113900</v>
      </c>
      <c r="R49" s="52" t="str">
        <f t="shared" si="16"/>
        <v>OK</v>
      </c>
      <c r="S49" s="18">
        <v>4079295</v>
      </c>
      <c r="T49" s="17">
        <f t="shared" si="17"/>
        <v>8158590</v>
      </c>
      <c r="U49" s="52" t="str">
        <f t="shared" si="18"/>
        <v>OK</v>
      </c>
      <c r="V49" s="18">
        <v>4050000</v>
      </c>
      <c r="W49" s="17">
        <f t="shared" si="19"/>
        <v>8100000</v>
      </c>
      <c r="X49" s="52" t="str">
        <f t="shared" si="20"/>
        <v>OK</v>
      </c>
      <c r="Y49" s="18">
        <v>4071710</v>
      </c>
      <c r="Z49" s="17">
        <f t="shared" si="21"/>
        <v>8143420</v>
      </c>
      <c r="AA49" s="52" t="str">
        <f t="shared" si="22"/>
        <v>OK</v>
      </c>
      <c r="AB49" s="18">
        <v>4100000</v>
      </c>
      <c r="AC49" s="17">
        <f t="shared" si="23"/>
        <v>8200000</v>
      </c>
      <c r="AD49" s="52" t="str">
        <f t="shared" si="24"/>
        <v>OK</v>
      </c>
      <c r="AE49" s="18">
        <v>4077040</v>
      </c>
      <c r="AF49" s="17">
        <f t="shared" si="25"/>
        <v>8154080</v>
      </c>
      <c r="AG49" s="52" t="str">
        <f t="shared" si="26"/>
        <v>OK</v>
      </c>
      <c r="AH49" s="18">
        <v>4077860</v>
      </c>
      <c r="AI49" s="17">
        <f t="shared" si="27"/>
        <v>8155720</v>
      </c>
      <c r="AJ49" s="52" t="str">
        <f t="shared" si="28"/>
        <v>OK</v>
      </c>
    </row>
    <row r="50" spans="1:39" ht="140.25" x14ac:dyDescent="0.25">
      <c r="A50" s="15" t="s">
        <v>299</v>
      </c>
      <c r="B50" s="16" t="s">
        <v>300</v>
      </c>
      <c r="C50" s="15" t="s">
        <v>4</v>
      </c>
      <c r="D50" s="173">
        <v>1</v>
      </c>
      <c r="E50" s="18">
        <v>4280000</v>
      </c>
      <c r="F50" s="17">
        <f t="shared" si="9"/>
        <v>4280000</v>
      </c>
      <c r="G50" s="18">
        <v>4255561</v>
      </c>
      <c r="H50" s="17">
        <f t="shared" si="10"/>
        <v>4255561</v>
      </c>
      <c r="I50" s="52" t="str">
        <f t="shared" si="11"/>
        <v>OK</v>
      </c>
      <c r="J50" s="18">
        <v>4280000</v>
      </c>
      <c r="K50" s="17">
        <f t="shared" si="30"/>
        <v>4280000</v>
      </c>
      <c r="L50" s="52" t="str">
        <f t="shared" si="29"/>
        <v>OK</v>
      </c>
      <c r="M50" s="18">
        <v>4243834</v>
      </c>
      <c r="N50" s="17">
        <f t="shared" si="13"/>
        <v>4243834</v>
      </c>
      <c r="O50" s="52" t="str">
        <f t="shared" si="14"/>
        <v>OK</v>
      </c>
      <c r="P50" s="18">
        <v>4235060</v>
      </c>
      <c r="Q50" s="17">
        <f t="shared" si="15"/>
        <v>4235060</v>
      </c>
      <c r="R50" s="52" t="str">
        <f t="shared" si="16"/>
        <v>OK</v>
      </c>
      <c r="S50" s="18">
        <v>4258386</v>
      </c>
      <c r="T50" s="17">
        <f t="shared" si="17"/>
        <v>4258386</v>
      </c>
      <c r="U50" s="52" t="str">
        <f t="shared" si="18"/>
        <v>OK</v>
      </c>
      <c r="V50" s="18">
        <v>4280000</v>
      </c>
      <c r="W50" s="17">
        <f t="shared" si="19"/>
        <v>4280000</v>
      </c>
      <c r="X50" s="52" t="str">
        <f t="shared" si="20"/>
        <v>OK</v>
      </c>
      <c r="Y50" s="18">
        <v>4250468</v>
      </c>
      <c r="Z50" s="17">
        <f t="shared" si="21"/>
        <v>4250468</v>
      </c>
      <c r="AA50" s="52" t="str">
        <f t="shared" si="22"/>
        <v>OK</v>
      </c>
      <c r="AB50" s="18">
        <v>4280000</v>
      </c>
      <c r="AC50" s="17">
        <f t="shared" si="23"/>
        <v>4280000</v>
      </c>
      <c r="AD50" s="52" t="str">
        <f t="shared" si="24"/>
        <v>OK</v>
      </c>
      <c r="AE50" s="18">
        <v>4256032</v>
      </c>
      <c r="AF50" s="17">
        <f t="shared" si="25"/>
        <v>4256032</v>
      </c>
      <c r="AG50" s="52" t="str">
        <f t="shared" si="26"/>
        <v>OK</v>
      </c>
      <c r="AH50" s="18">
        <v>4256888</v>
      </c>
      <c r="AI50" s="17">
        <f t="shared" si="27"/>
        <v>4256888</v>
      </c>
      <c r="AJ50" s="52" t="str">
        <f t="shared" si="28"/>
        <v>OK</v>
      </c>
    </row>
    <row r="51" spans="1:39" ht="127.5" x14ac:dyDescent="0.25">
      <c r="A51" s="15" t="s">
        <v>301</v>
      </c>
      <c r="B51" s="16" t="s">
        <v>302</v>
      </c>
      <c r="C51" s="15" t="s">
        <v>303</v>
      </c>
      <c r="D51" s="173">
        <v>1</v>
      </c>
      <c r="E51" s="18">
        <v>3930000</v>
      </c>
      <c r="F51" s="17">
        <f t="shared" si="9"/>
        <v>3930000</v>
      </c>
      <c r="G51" s="18">
        <v>3907560</v>
      </c>
      <c r="H51" s="17">
        <f t="shared" si="10"/>
        <v>3907560</v>
      </c>
      <c r="I51" s="52" t="str">
        <f t="shared" si="11"/>
        <v>OK</v>
      </c>
      <c r="J51" s="18">
        <v>3930000</v>
      </c>
      <c r="K51" s="17">
        <f t="shared" si="30"/>
        <v>3930000</v>
      </c>
      <c r="L51" s="52" t="str">
        <f t="shared" si="29"/>
        <v>OK</v>
      </c>
      <c r="M51" s="18">
        <v>3896792</v>
      </c>
      <c r="N51" s="17">
        <f t="shared" si="13"/>
        <v>3896792</v>
      </c>
      <c r="O51" s="52" t="str">
        <f t="shared" si="14"/>
        <v>OK</v>
      </c>
      <c r="P51" s="18">
        <v>3888735</v>
      </c>
      <c r="Q51" s="17">
        <f t="shared" si="15"/>
        <v>3888735</v>
      </c>
      <c r="R51" s="52" t="str">
        <f t="shared" si="16"/>
        <v>OK</v>
      </c>
      <c r="S51" s="18">
        <v>3910154</v>
      </c>
      <c r="T51" s="17">
        <f t="shared" si="17"/>
        <v>3910154</v>
      </c>
      <c r="U51" s="52" t="str">
        <f t="shared" si="18"/>
        <v>OK</v>
      </c>
      <c r="V51" s="18">
        <v>3930000</v>
      </c>
      <c r="W51" s="17">
        <f t="shared" si="19"/>
        <v>3930000</v>
      </c>
      <c r="X51" s="52" t="str">
        <f t="shared" si="20"/>
        <v>OK</v>
      </c>
      <c r="Y51" s="18">
        <v>3902883</v>
      </c>
      <c r="Z51" s="17">
        <f t="shared" si="21"/>
        <v>3902883</v>
      </c>
      <c r="AA51" s="52" t="str">
        <f t="shared" si="22"/>
        <v>OK</v>
      </c>
      <c r="AB51" s="18">
        <v>3930000</v>
      </c>
      <c r="AC51" s="17">
        <f t="shared" si="23"/>
        <v>3930000</v>
      </c>
      <c r="AD51" s="52" t="str">
        <f t="shared" si="24"/>
        <v>OK</v>
      </c>
      <c r="AE51" s="18">
        <v>3907992</v>
      </c>
      <c r="AF51" s="17">
        <f t="shared" si="25"/>
        <v>3907992</v>
      </c>
      <c r="AG51" s="52" t="str">
        <f t="shared" si="26"/>
        <v>OK</v>
      </c>
      <c r="AH51" s="18">
        <v>3908778</v>
      </c>
      <c r="AI51" s="17">
        <f t="shared" si="27"/>
        <v>3908778</v>
      </c>
      <c r="AJ51" s="52" t="str">
        <f t="shared" si="28"/>
        <v>OK</v>
      </c>
    </row>
    <row r="52" spans="1:39" ht="51" x14ac:dyDescent="0.25">
      <c r="A52" s="15" t="s">
        <v>304</v>
      </c>
      <c r="B52" s="16" t="s">
        <v>305</v>
      </c>
      <c r="C52" s="15" t="s">
        <v>4</v>
      </c>
      <c r="D52" s="173">
        <v>1</v>
      </c>
      <c r="E52" s="18">
        <v>725000</v>
      </c>
      <c r="F52" s="17">
        <f t="shared" si="9"/>
        <v>725000</v>
      </c>
      <c r="G52" s="18">
        <v>720860</v>
      </c>
      <c r="H52" s="17">
        <f t="shared" si="10"/>
        <v>720860</v>
      </c>
      <c r="I52" s="52" t="str">
        <f t="shared" si="11"/>
        <v>OK</v>
      </c>
      <c r="J52" s="18">
        <v>725000</v>
      </c>
      <c r="K52" s="17">
        <f t="shared" si="30"/>
        <v>725000</v>
      </c>
      <c r="L52" s="52" t="str">
        <f t="shared" si="29"/>
        <v>OK</v>
      </c>
      <c r="M52" s="18">
        <v>718874</v>
      </c>
      <c r="N52" s="17">
        <f t="shared" si="13"/>
        <v>718874</v>
      </c>
      <c r="O52" s="52" t="str">
        <f t="shared" si="14"/>
        <v>OK</v>
      </c>
      <c r="P52" s="18">
        <v>717388</v>
      </c>
      <c r="Q52" s="17">
        <f t="shared" si="15"/>
        <v>717388</v>
      </c>
      <c r="R52" s="52" t="str">
        <f t="shared" si="16"/>
        <v>OK</v>
      </c>
      <c r="S52" s="18">
        <v>721339</v>
      </c>
      <c r="T52" s="17">
        <f t="shared" si="17"/>
        <v>721339</v>
      </c>
      <c r="U52" s="52" t="str">
        <f t="shared" si="18"/>
        <v>OK</v>
      </c>
      <c r="V52" s="18">
        <v>725000</v>
      </c>
      <c r="W52" s="17">
        <f t="shared" si="19"/>
        <v>725000</v>
      </c>
      <c r="X52" s="52" t="str">
        <f t="shared" si="20"/>
        <v>OK</v>
      </c>
      <c r="Y52" s="18">
        <v>719998</v>
      </c>
      <c r="Z52" s="17">
        <f t="shared" si="21"/>
        <v>719998</v>
      </c>
      <c r="AA52" s="52" t="str">
        <f t="shared" si="22"/>
        <v>OK</v>
      </c>
      <c r="AB52" s="18">
        <v>725000</v>
      </c>
      <c r="AC52" s="17">
        <f t="shared" si="23"/>
        <v>725000</v>
      </c>
      <c r="AD52" s="52" t="str">
        <f t="shared" si="24"/>
        <v>OK</v>
      </c>
      <c r="AE52" s="18">
        <v>720940</v>
      </c>
      <c r="AF52" s="17">
        <f t="shared" si="25"/>
        <v>720940</v>
      </c>
      <c r="AG52" s="52" t="str">
        <f t="shared" si="26"/>
        <v>OK</v>
      </c>
      <c r="AH52" s="18">
        <v>721085</v>
      </c>
      <c r="AI52" s="17">
        <f t="shared" si="27"/>
        <v>721085</v>
      </c>
      <c r="AJ52" s="52" t="str">
        <f t="shared" si="28"/>
        <v>OK</v>
      </c>
    </row>
    <row r="53" spans="1:39" ht="76.5" x14ac:dyDescent="0.25">
      <c r="A53" s="15" t="s">
        <v>306</v>
      </c>
      <c r="B53" s="16" t="s">
        <v>307</v>
      </c>
      <c r="C53" s="15" t="s">
        <v>4</v>
      </c>
      <c r="D53" s="173">
        <v>1</v>
      </c>
      <c r="E53" s="18">
        <v>1780000</v>
      </c>
      <c r="F53" s="17">
        <f t="shared" si="9"/>
        <v>1780000</v>
      </c>
      <c r="G53" s="18">
        <v>1769836</v>
      </c>
      <c r="H53" s="17">
        <f t="shared" si="10"/>
        <v>1769836</v>
      </c>
      <c r="I53" s="52" t="str">
        <f t="shared" si="11"/>
        <v>OK</v>
      </c>
      <c r="J53" s="18">
        <v>1780000</v>
      </c>
      <c r="K53" s="17">
        <f t="shared" si="30"/>
        <v>1780000</v>
      </c>
      <c r="L53" s="52" t="str">
        <f t="shared" si="29"/>
        <v>OK</v>
      </c>
      <c r="M53" s="18">
        <v>1764959</v>
      </c>
      <c r="N53" s="17">
        <f t="shared" si="13"/>
        <v>1764959</v>
      </c>
      <c r="O53" s="52" t="str">
        <f t="shared" si="14"/>
        <v>OK</v>
      </c>
      <c r="P53" s="18">
        <v>1761310</v>
      </c>
      <c r="Q53" s="17">
        <f t="shared" si="15"/>
        <v>1761310</v>
      </c>
      <c r="R53" s="52" t="str">
        <f t="shared" si="16"/>
        <v>OK</v>
      </c>
      <c r="S53" s="18">
        <v>1771011</v>
      </c>
      <c r="T53" s="17">
        <f t="shared" si="17"/>
        <v>1771011</v>
      </c>
      <c r="U53" s="52" t="str">
        <f t="shared" si="18"/>
        <v>OK</v>
      </c>
      <c r="V53" s="18">
        <v>1780000</v>
      </c>
      <c r="W53" s="17">
        <f t="shared" si="19"/>
        <v>1780000</v>
      </c>
      <c r="X53" s="52" t="str">
        <f t="shared" si="20"/>
        <v>OK</v>
      </c>
      <c r="Y53" s="18">
        <v>1767718</v>
      </c>
      <c r="Z53" s="17">
        <f t="shared" si="21"/>
        <v>1767718</v>
      </c>
      <c r="AA53" s="52" t="str">
        <f t="shared" si="22"/>
        <v>OK</v>
      </c>
      <c r="AB53" s="18">
        <v>1780000</v>
      </c>
      <c r="AC53" s="17">
        <f t="shared" si="23"/>
        <v>1780000</v>
      </c>
      <c r="AD53" s="52" t="str">
        <f t="shared" si="24"/>
        <v>OK</v>
      </c>
      <c r="AE53" s="18">
        <v>1770032</v>
      </c>
      <c r="AF53" s="17">
        <f t="shared" si="25"/>
        <v>1770032</v>
      </c>
      <c r="AG53" s="52" t="str">
        <f t="shared" si="26"/>
        <v>OK</v>
      </c>
      <c r="AH53" s="18">
        <v>1770388</v>
      </c>
      <c r="AI53" s="17">
        <f t="shared" si="27"/>
        <v>1770388</v>
      </c>
      <c r="AJ53" s="52" t="str">
        <f t="shared" si="28"/>
        <v>OK</v>
      </c>
    </row>
    <row r="54" spans="1:39" ht="127.5" x14ac:dyDescent="0.25">
      <c r="A54" s="15" t="s">
        <v>308</v>
      </c>
      <c r="B54" s="16" t="s">
        <v>309</v>
      </c>
      <c r="C54" s="15" t="s">
        <v>4</v>
      </c>
      <c r="D54" s="173">
        <v>1</v>
      </c>
      <c r="E54" s="18">
        <v>2400000</v>
      </c>
      <c r="F54" s="17">
        <f t="shared" si="9"/>
        <v>2400000</v>
      </c>
      <c r="G54" s="18">
        <v>2386296</v>
      </c>
      <c r="H54" s="17">
        <f t="shared" si="10"/>
        <v>2386296</v>
      </c>
      <c r="I54" s="52" t="str">
        <f t="shared" si="11"/>
        <v>OK</v>
      </c>
      <c r="J54" s="18">
        <v>2400000</v>
      </c>
      <c r="K54" s="17">
        <f t="shared" si="30"/>
        <v>2400000</v>
      </c>
      <c r="L54" s="52" t="str">
        <f t="shared" si="29"/>
        <v>OK</v>
      </c>
      <c r="M54" s="18">
        <v>2379720</v>
      </c>
      <c r="N54" s="17">
        <f t="shared" si="13"/>
        <v>2379720</v>
      </c>
      <c r="O54" s="52" t="str">
        <f t="shared" si="14"/>
        <v>OK</v>
      </c>
      <c r="P54" s="18">
        <v>2374800</v>
      </c>
      <c r="Q54" s="17">
        <f t="shared" si="15"/>
        <v>2374800</v>
      </c>
      <c r="R54" s="52" t="str">
        <f t="shared" si="16"/>
        <v>OK</v>
      </c>
      <c r="S54" s="18">
        <v>2387880</v>
      </c>
      <c r="T54" s="17">
        <f t="shared" si="17"/>
        <v>2387880</v>
      </c>
      <c r="U54" s="52" t="str">
        <f t="shared" si="18"/>
        <v>OK</v>
      </c>
      <c r="V54" s="18">
        <v>2400000</v>
      </c>
      <c r="W54" s="17">
        <f t="shared" si="19"/>
        <v>2400000</v>
      </c>
      <c r="X54" s="52" t="str">
        <f t="shared" si="20"/>
        <v>OK</v>
      </c>
      <c r="Y54" s="18">
        <v>2383440</v>
      </c>
      <c r="Z54" s="17">
        <f t="shared" si="21"/>
        <v>2383440</v>
      </c>
      <c r="AA54" s="52" t="str">
        <f t="shared" si="22"/>
        <v>OK</v>
      </c>
      <c r="AB54" s="18">
        <v>2400000</v>
      </c>
      <c r="AC54" s="17">
        <f t="shared" si="23"/>
        <v>2400000</v>
      </c>
      <c r="AD54" s="52" t="str">
        <f t="shared" si="24"/>
        <v>OK</v>
      </c>
      <c r="AE54" s="18">
        <v>2386560</v>
      </c>
      <c r="AF54" s="17">
        <f t="shared" si="25"/>
        <v>2386560</v>
      </c>
      <c r="AG54" s="52" t="str">
        <f t="shared" si="26"/>
        <v>OK</v>
      </c>
      <c r="AH54" s="18">
        <v>2387040</v>
      </c>
      <c r="AI54" s="17">
        <f t="shared" si="27"/>
        <v>2387040</v>
      </c>
      <c r="AJ54" s="52" t="str">
        <f t="shared" si="28"/>
        <v>OK</v>
      </c>
    </row>
    <row r="55" spans="1:39" ht="51" x14ac:dyDescent="0.25">
      <c r="A55" s="15" t="s">
        <v>310</v>
      </c>
      <c r="B55" s="16" t="s">
        <v>311</v>
      </c>
      <c r="C55" s="15" t="s">
        <v>4</v>
      </c>
      <c r="D55" s="173">
        <v>1</v>
      </c>
      <c r="E55" s="18">
        <v>490000</v>
      </c>
      <c r="F55" s="17">
        <f t="shared" si="9"/>
        <v>490000</v>
      </c>
      <c r="G55" s="18">
        <v>487202</v>
      </c>
      <c r="H55" s="17">
        <f t="shared" si="10"/>
        <v>487202</v>
      </c>
      <c r="I55" s="52" t="str">
        <f t="shared" si="11"/>
        <v>OK</v>
      </c>
      <c r="J55" s="18">
        <v>490000</v>
      </c>
      <c r="K55" s="17">
        <f t="shared" si="30"/>
        <v>490000</v>
      </c>
      <c r="L55" s="52" t="str">
        <f t="shared" si="29"/>
        <v>OK</v>
      </c>
      <c r="M55" s="18">
        <v>485860</v>
      </c>
      <c r="N55" s="17">
        <f t="shared" si="13"/>
        <v>485860</v>
      </c>
      <c r="O55" s="52" t="str">
        <f t="shared" si="14"/>
        <v>OK</v>
      </c>
      <c r="P55" s="18">
        <v>484855</v>
      </c>
      <c r="Q55" s="17">
        <f t="shared" si="15"/>
        <v>484855</v>
      </c>
      <c r="R55" s="52" t="str">
        <f t="shared" si="16"/>
        <v>OK</v>
      </c>
      <c r="S55" s="18">
        <v>487526</v>
      </c>
      <c r="T55" s="17">
        <f t="shared" si="17"/>
        <v>487526</v>
      </c>
      <c r="U55" s="52" t="str">
        <f t="shared" si="18"/>
        <v>OK</v>
      </c>
      <c r="V55" s="18">
        <v>490000</v>
      </c>
      <c r="W55" s="17">
        <f t="shared" si="19"/>
        <v>490000</v>
      </c>
      <c r="X55" s="52" t="str">
        <f t="shared" si="20"/>
        <v>OK</v>
      </c>
      <c r="Y55" s="18">
        <v>486619</v>
      </c>
      <c r="Z55" s="17">
        <f t="shared" si="21"/>
        <v>486619</v>
      </c>
      <c r="AA55" s="52" t="str">
        <f t="shared" si="22"/>
        <v>OK</v>
      </c>
      <c r="AB55" s="18">
        <v>490000</v>
      </c>
      <c r="AC55" s="17">
        <f t="shared" si="23"/>
        <v>490000</v>
      </c>
      <c r="AD55" s="52" t="str">
        <f t="shared" si="24"/>
        <v>OK</v>
      </c>
      <c r="AE55" s="18">
        <v>487256</v>
      </c>
      <c r="AF55" s="17">
        <f t="shared" si="25"/>
        <v>487256</v>
      </c>
      <c r="AG55" s="52" t="str">
        <f t="shared" si="26"/>
        <v>OK</v>
      </c>
      <c r="AH55" s="18">
        <v>487354</v>
      </c>
      <c r="AI55" s="17">
        <f t="shared" si="27"/>
        <v>487354</v>
      </c>
      <c r="AJ55" s="52" t="str">
        <f t="shared" si="28"/>
        <v>OK</v>
      </c>
    </row>
    <row r="56" spans="1:39" ht="51" x14ac:dyDescent="0.25">
      <c r="A56" s="169" t="s">
        <v>312</v>
      </c>
      <c r="B56" s="16" t="s">
        <v>313</v>
      </c>
      <c r="C56" s="15" t="s">
        <v>4</v>
      </c>
      <c r="D56" s="173">
        <v>2</v>
      </c>
      <c r="E56" s="18">
        <v>1880000</v>
      </c>
      <c r="F56" s="17">
        <f t="shared" si="9"/>
        <v>3760000</v>
      </c>
      <c r="G56" s="18">
        <v>1869265</v>
      </c>
      <c r="H56" s="17">
        <f t="shared" si="10"/>
        <v>3738530</v>
      </c>
      <c r="I56" s="52" t="str">
        <f t="shared" si="11"/>
        <v>OK</v>
      </c>
      <c r="J56" s="18">
        <v>1880000</v>
      </c>
      <c r="K56" s="17">
        <f t="shared" si="30"/>
        <v>3760000</v>
      </c>
      <c r="L56" s="52" t="str">
        <f t="shared" si="29"/>
        <v>OK</v>
      </c>
      <c r="M56" s="18">
        <v>1864114</v>
      </c>
      <c r="N56" s="17">
        <f t="shared" si="13"/>
        <v>3728228</v>
      </c>
      <c r="O56" s="52" t="str">
        <f t="shared" si="14"/>
        <v>OK</v>
      </c>
      <c r="P56" s="18">
        <v>1860260</v>
      </c>
      <c r="Q56" s="17">
        <f t="shared" si="15"/>
        <v>3720520</v>
      </c>
      <c r="R56" s="52" t="str">
        <f t="shared" si="16"/>
        <v>OK</v>
      </c>
      <c r="S56" s="18">
        <v>1870506</v>
      </c>
      <c r="T56" s="17">
        <f t="shared" si="17"/>
        <v>3741012</v>
      </c>
      <c r="U56" s="52" t="str">
        <f t="shared" si="18"/>
        <v>OK</v>
      </c>
      <c r="V56" s="18">
        <v>1880000</v>
      </c>
      <c r="W56" s="17">
        <f t="shared" si="19"/>
        <v>3760000</v>
      </c>
      <c r="X56" s="52" t="str">
        <f t="shared" si="20"/>
        <v>OK</v>
      </c>
      <c r="Y56" s="18">
        <v>1867028</v>
      </c>
      <c r="Z56" s="17">
        <f t="shared" si="21"/>
        <v>3734056</v>
      </c>
      <c r="AA56" s="52" t="str">
        <f t="shared" si="22"/>
        <v>OK</v>
      </c>
      <c r="AB56" s="18">
        <v>1880000</v>
      </c>
      <c r="AC56" s="17">
        <f t="shared" si="23"/>
        <v>3760000</v>
      </c>
      <c r="AD56" s="52" t="str">
        <f t="shared" si="24"/>
        <v>OK</v>
      </c>
      <c r="AE56" s="18">
        <v>1869472</v>
      </c>
      <c r="AF56" s="17">
        <f t="shared" si="25"/>
        <v>3738944</v>
      </c>
      <c r="AG56" s="52" t="str">
        <f t="shared" si="26"/>
        <v>OK</v>
      </c>
      <c r="AH56" s="18">
        <v>1869848</v>
      </c>
      <c r="AI56" s="17">
        <f t="shared" si="27"/>
        <v>3739696</v>
      </c>
      <c r="AJ56" s="52" t="str">
        <f t="shared" si="28"/>
        <v>OK</v>
      </c>
    </row>
    <row r="57" spans="1:39" ht="51" x14ac:dyDescent="0.25">
      <c r="A57" s="15" t="s">
        <v>314</v>
      </c>
      <c r="B57" s="16" t="s">
        <v>315</v>
      </c>
      <c r="C57" s="15" t="s">
        <v>4</v>
      </c>
      <c r="D57" s="173">
        <v>1</v>
      </c>
      <c r="E57" s="18">
        <v>2395000</v>
      </c>
      <c r="F57" s="17">
        <f t="shared" si="9"/>
        <v>2395000</v>
      </c>
      <c r="G57" s="18">
        <v>2381325</v>
      </c>
      <c r="H57" s="17">
        <f t="shared" si="10"/>
        <v>2381325</v>
      </c>
      <c r="I57" s="52" t="str">
        <f t="shared" si="11"/>
        <v>OK</v>
      </c>
      <c r="J57" s="18">
        <v>2395000</v>
      </c>
      <c r="K57" s="17">
        <f t="shared" si="30"/>
        <v>2395000</v>
      </c>
      <c r="L57" s="52" t="str">
        <f t="shared" si="29"/>
        <v>OK</v>
      </c>
      <c r="M57" s="18">
        <v>2374762</v>
      </c>
      <c r="N57" s="17">
        <f t="shared" si="13"/>
        <v>2374762</v>
      </c>
      <c r="O57" s="52" t="str">
        <f t="shared" si="14"/>
        <v>OK</v>
      </c>
      <c r="P57" s="18">
        <v>2369853</v>
      </c>
      <c r="Q57" s="17">
        <f t="shared" si="15"/>
        <v>2369853</v>
      </c>
      <c r="R57" s="52" t="str">
        <f t="shared" si="16"/>
        <v>OK</v>
      </c>
      <c r="S57" s="18">
        <v>2382905</v>
      </c>
      <c r="T57" s="17">
        <f t="shared" si="17"/>
        <v>2382905</v>
      </c>
      <c r="U57" s="52" t="str">
        <f t="shared" si="18"/>
        <v>OK</v>
      </c>
      <c r="V57" s="18">
        <v>2380000</v>
      </c>
      <c r="W57" s="17">
        <f t="shared" si="19"/>
        <v>2380000</v>
      </c>
      <c r="X57" s="52" t="str">
        <f t="shared" si="20"/>
        <v>OK</v>
      </c>
      <c r="Y57" s="18">
        <v>2378475</v>
      </c>
      <c r="Z57" s="17">
        <f t="shared" si="21"/>
        <v>2378475</v>
      </c>
      <c r="AA57" s="52" t="str">
        <f t="shared" si="22"/>
        <v>OK</v>
      </c>
      <c r="AB57" s="18">
        <v>2395000</v>
      </c>
      <c r="AC57" s="17">
        <f t="shared" si="23"/>
        <v>2395000</v>
      </c>
      <c r="AD57" s="52" t="str">
        <f t="shared" si="24"/>
        <v>OK</v>
      </c>
      <c r="AE57" s="18">
        <v>2381588</v>
      </c>
      <c r="AF57" s="17">
        <f t="shared" si="25"/>
        <v>2381588</v>
      </c>
      <c r="AG57" s="52" t="str">
        <f t="shared" si="26"/>
        <v>OK</v>
      </c>
      <c r="AH57" s="18">
        <v>2382067</v>
      </c>
      <c r="AI57" s="17">
        <f t="shared" si="27"/>
        <v>2382067</v>
      </c>
      <c r="AJ57" s="52" t="str">
        <f t="shared" si="28"/>
        <v>OK</v>
      </c>
    </row>
    <row r="58" spans="1:39" ht="51" x14ac:dyDescent="0.25">
      <c r="A58" s="15" t="s">
        <v>316</v>
      </c>
      <c r="B58" s="16" t="s">
        <v>317</v>
      </c>
      <c r="C58" s="15" t="s">
        <v>4</v>
      </c>
      <c r="D58" s="173">
        <v>2</v>
      </c>
      <c r="E58" s="18">
        <v>1730000</v>
      </c>
      <c r="F58" s="17">
        <f t="shared" si="9"/>
        <v>3460000</v>
      </c>
      <c r="G58" s="18">
        <v>1720122</v>
      </c>
      <c r="H58" s="17">
        <f t="shared" si="10"/>
        <v>3440244</v>
      </c>
      <c r="I58" s="52" t="str">
        <f t="shared" si="11"/>
        <v>OK</v>
      </c>
      <c r="J58" s="18">
        <v>1730000</v>
      </c>
      <c r="K58" s="17">
        <f t="shared" si="30"/>
        <v>3460000</v>
      </c>
      <c r="L58" s="52" t="str">
        <f t="shared" si="29"/>
        <v>OK</v>
      </c>
      <c r="M58" s="18">
        <v>1715382</v>
      </c>
      <c r="N58" s="17">
        <f t="shared" si="13"/>
        <v>3430764</v>
      </c>
      <c r="O58" s="52" t="str">
        <f t="shared" si="14"/>
        <v>OK</v>
      </c>
      <c r="P58" s="18">
        <v>1711835</v>
      </c>
      <c r="Q58" s="17">
        <f t="shared" si="15"/>
        <v>3423670</v>
      </c>
      <c r="R58" s="52" t="str">
        <f t="shared" si="16"/>
        <v>OK</v>
      </c>
      <c r="S58" s="18">
        <v>1721264</v>
      </c>
      <c r="T58" s="17">
        <f t="shared" si="17"/>
        <v>3442528</v>
      </c>
      <c r="U58" s="52" t="str">
        <f t="shared" si="18"/>
        <v>OK</v>
      </c>
      <c r="V58" s="18">
        <v>1700000</v>
      </c>
      <c r="W58" s="17">
        <f t="shared" si="19"/>
        <v>3400000</v>
      </c>
      <c r="X58" s="52" t="str">
        <f t="shared" si="20"/>
        <v>OK</v>
      </c>
      <c r="Y58" s="18">
        <v>1718063</v>
      </c>
      <c r="Z58" s="17">
        <f t="shared" si="21"/>
        <v>3436126</v>
      </c>
      <c r="AA58" s="52" t="str">
        <f t="shared" si="22"/>
        <v>OK</v>
      </c>
      <c r="AB58" s="18">
        <v>1730000</v>
      </c>
      <c r="AC58" s="17">
        <f t="shared" si="23"/>
        <v>3460000</v>
      </c>
      <c r="AD58" s="52" t="str">
        <f t="shared" si="24"/>
        <v>OK</v>
      </c>
      <c r="AE58" s="18">
        <v>1720312</v>
      </c>
      <c r="AF58" s="17">
        <f t="shared" si="25"/>
        <v>3440624</v>
      </c>
      <c r="AG58" s="52" t="str">
        <f t="shared" si="26"/>
        <v>OK</v>
      </c>
      <c r="AH58" s="18">
        <v>1720658</v>
      </c>
      <c r="AI58" s="17">
        <f t="shared" si="27"/>
        <v>3441316</v>
      </c>
      <c r="AJ58" s="52" t="str">
        <f t="shared" si="28"/>
        <v>OK</v>
      </c>
    </row>
    <row r="59" spans="1:39" ht="38.25" x14ac:dyDescent="0.25">
      <c r="A59" s="15" t="s">
        <v>318</v>
      </c>
      <c r="B59" s="16" t="s">
        <v>319</v>
      </c>
      <c r="C59" s="15" t="s">
        <v>4</v>
      </c>
      <c r="D59" s="173">
        <v>1</v>
      </c>
      <c r="E59" s="18">
        <v>7350000</v>
      </c>
      <c r="F59" s="17">
        <f t="shared" si="9"/>
        <v>7350000</v>
      </c>
      <c r="G59" s="18">
        <v>7308032</v>
      </c>
      <c r="H59" s="17">
        <f t="shared" si="10"/>
        <v>7308032</v>
      </c>
      <c r="I59" s="52" t="str">
        <f t="shared" si="11"/>
        <v>OK</v>
      </c>
      <c r="J59" s="18">
        <v>7350000</v>
      </c>
      <c r="K59" s="17">
        <f t="shared" si="30"/>
        <v>7350000</v>
      </c>
      <c r="L59" s="52" t="str">
        <f t="shared" si="29"/>
        <v>OK</v>
      </c>
      <c r="M59" s="18">
        <v>7287893</v>
      </c>
      <c r="N59" s="17">
        <f t="shared" si="13"/>
        <v>7287893</v>
      </c>
      <c r="O59" s="52" t="str">
        <f t="shared" si="14"/>
        <v>OK</v>
      </c>
      <c r="P59" s="18">
        <v>7272825</v>
      </c>
      <c r="Q59" s="17">
        <f t="shared" si="15"/>
        <v>7272825</v>
      </c>
      <c r="R59" s="52" t="str">
        <f t="shared" si="16"/>
        <v>OK</v>
      </c>
      <c r="S59" s="18">
        <v>7312883</v>
      </c>
      <c r="T59" s="17">
        <f t="shared" si="17"/>
        <v>7312883</v>
      </c>
      <c r="U59" s="52" t="str">
        <f t="shared" si="18"/>
        <v>OK</v>
      </c>
      <c r="V59" s="18">
        <v>7300000</v>
      </c>
      <c r="W59" s="17">
        <f t="shared" si="19"/>
        <v>7300000</v>
      </c>
      <c r="X59" s="52" t="str">
        <f t="shared" si="20"/>
        <v>OK</v>
      </c>
      <c r="Y59" s="18">
        <v>7299285</v>
      </c>
      <c r="Z59" s="17">
        <f t="shared" si="21"/>
        <v>7299285</v>
      </c>
      <c r="AA59" s="52" t="str">
        <f t="shared" si="22"/>
        <v>OK</v>
      </c>
      <c r="AB59" s="18">
        <v>7350000</v>
      </c>
      <c r="AC59" s="17">
        <f t="shared" si="23"/>
        <v>7350000</v>
      </c>
      <c r="AD59" s="52" t="str">
        <f t="shared" si="24"/>
        <v>OK</v>
      </c>
      <c r="AE59" s="18">
        <v>7308840</v>
      </c>
      <c r="AF59" s="17">
        <f t="shared" si="25"/>
        <v>7308840</v>
      </c>
      <c r="AG59" s="52" t="str">
        <f t="shared" si="26"/>
        <v>OK</v>
      </c>
      <c r="AH59" s="18">
        <v>7310310</v>
      </c>
      <c r="AI59" s="17">
        <f t="shared" si="27"/>
        <v>7310310</v>
      </c>
      <c r="AJ59" s="52" t="str">
        <f t="shared" si="28"/>
        <v>OK</v>
      </c>
    </row>
    <row r="60" spans="1:39" x14ac:dyDescent="0.25">
      <c r="A60" s="15"/>
      <c r="B60" s="19"/>
      <c r="C60" s="31"/>
      <c r="D60" s="174"/>
      <c r="E60" s="32"/>
      <c r="F60" s="17"/>
      <c r="G60" s="32"/>
      <c r="H60" s="17"/>
      <c r="I60" s="15"/>
      <c r="J60" s="32"/>
      <c r="K60" s="17"/>
      <c r="L60" s="15"/>
      <c r="M60" s="32"/>
      <c r="N60" s="17"/>
      <c r="O60" s="15"/>
      <c r="P60" s="32"/>
      <c r="Q60" s="17"/>
      <c r="R60" s="15"/>
      <c r="S60" s="32"/>
      <c r="T60" s="17"/>
      <c r="U60" s="15"/>
      <c r="V60" s="32"/>
      <c r="W60" s="17"/>
      <c r="X60" s="15"/>
      <c r="Y60" s="32"/>
      <c r="Z60" s="17"/>
      <c r="AA60" s="15"/>
      <c r="AB60" s="32"/>
      <c r="AC60" s="17"/>
      <c r="AD60" s="15"/>
      <c r="AE60" s="32"/>
      <c r="AF60" s="17"/>
      <c r="AG60" s="15"/>
      <c r="AH60" s="32"/>
      <c r="AI60" s="17"/>
      <c r="AJ60" s="15"/>
      <c r="AK60" s="8"/>
      <c r="AL60" s="9"/>
      <c r="AM60" s="8"/>
    </row>
    <row r="61" spans="1:39" x14ac:dyDescent="0.25">
      <c r="A61" s="15"/>
      <c r="B61" s="3" t="s">
        <v>36</v>
      </c>
      <c r="C61" s="15"/>
      <c r="D61" s="15"/>
      <c r="E61" s="17"/>
      <c r="F61" s="23">
        <f>SUM(F9:F60)</f>
        <v>281575000</v>
      </c>
      <c r="G61" s="17"/>
      <c r="H61" s="23">
        <f>SUM(H9:H60)</f>
        <v>279967212</v>
      </c>
      <c r="I61" s="15"/>
      <c r="J61" s="17"/>
      <c r="K61" s="23">
        <f>SUM(K9:K60)</f>
        <v>280375000</v>
      </c>
      <c r="L61" s="15"/>
      <c r="M61" s="17"/>
      <c r="N61" s="23">
        <f>SUM(N9:N60)</f>
        <v>279195722</v>
      </c>
      <c r="O61" s="15"/>
      <c r="P61" s="17"/>
      <c r="Q61" s="23">
        <f>SUM(Q9:Q60)</f>
        <v>278618467</v>
      </c>
      <c r="R61" s="15"/>
      <c r="S61" s="17"/>
      <c r="T61" s="23">
        <f>SUM(T9:T60)</f>
        <v>280153077</v>
      </c>
      <c r="U61" s="15"/>
      <c r="V61" s="17"/>
      <c r="W61" s="23">
        <f>SUM(W9:W60)</f>
        <v>279295000</v>
      </c>
      <c r="X61" s="15"/>
      <c r="Y61" s="17"/>
      <c r="Z61" s="23">
        <f>SUM(Z9:Z60)</f>
        <v>279632137</v>
      </c>
      <c r="AA61" s="15"/>
      <c r="AB61" s="17"/>
      <c r="AC61" s="23">
        <f>SUM(AC9:AC60)</f>
        <v>279075000</v>
      </c>
      <c r="AD61" s="15"/>
      <c r="AE61" s="17"/>
      <c r="AF61" s="23">
        <f>SUM(AF9:AF60)</f>
        <v>279998180</v>
      </c>
      <c r="AG61" s="15"/>
      <c r="AH61" s="17"/>
      <c r="AI61" s="23">
        <f>SUM(AI9:AI60)</f>
        <v>280054495</v>
      </c>
      <c r="AJ61" s="15"/>
      <c r="AK61" s="8"/>
      <c r="AL61" s="9"/>
      <c r="AM61" s="8"/>
    </row>
    <row r="62" spans="1:39" x14ac:dyDescent="0.25">
      <c r="A62" s="15"/>
      <c r="B62" s="46" t="s">
        <v>78</v>
      </c>
      <c r="C62" s="170">
        <v>0.17</v>
      </c>
      <c r="D62" s="15"/>
      <c r="E62" s="17"/>
      <c r="F62" s="17">
        <f>F$61*$C62</f>
        <v>47867750</v>
      </c>
      <c r="G62" s="176">
        <v>0.17</v>
      </c>
      <c r="H62" s="17">
        <f>ROUND(H$61*G62,0)</f>
        <v>47594426</v>
      </c>
      <c r="I62" s="15"/>
      <c r="J62" s="176">
        <v>0.17</v>
      </c>
      <c r="K62" s="17">
        <f>ROUND(K$61*J62,0)</f>
        <v>47663750</v>
      </c>
      <c r="L62" s="15"/>
      <c r="M62" s="176">
        <v>0.17</v>
      </c>
      <c r="N62" s="17">
        <f>ROUND(N$61*M62,0)</f>
        <v>47463273</v>
      </c>
      <c r="O62" s="15"/>
      <c r="P62" s="176">
        <v>0.17</v>
      </c>
      <c r="Q62" s="17">
        <f>ROUND(Q$61*P62,0)</f>
        <v>47365139</v>
      </c>
      <c r="R62" s="15"/>
      <c r="S62" s="176">
        <v>0.17</v>
      </c>
      <c r="T62" s="17">
        <f>ROUND(T$61*S62,0)</f>
        <v>47626023</v>
      </c>
      <c r="U62" s="15"/>
      <c r="V62" s="176">
        <v>0.17</v>
      </c>
      <c r="W62" s="17">
        <f>ROUND(W$61*V62,0)</f>
        <v>47480150</v>
      </c>
      <c r="X62" s="15"/>
      <c r="Y62" s="176">
        <v>0.17</v>
      </c>
      <c r="Z62" s="17">
        <f>ROUND(Z$61*Y62,0)</f>
        <v>47537463</v>
      </c>
      <c r="AA62" s="15"/>
      <c r="AB62" s="176">
        <v>0.17</v>
      </c>
      <c r="AC62" s="17">
        <f>ROUND(AC$61*AB62,0)</f>
        <v>47442750</v>
      </c>
      <c r="AD62" s="15"/>
      <c r="AE62" s="176">
        <v>0.17</v>
      </c>
      <c r="AF62" s="17">
        <f>ROUND(AF$61*AE62,0)</f>
        <v>47599691</v>
      </c>
      <c r="AG62" s="15"/>
      <c r="AH62" s="176">
        <v>0.17</v>
      </c>
      <c r="AI62" s="17">
        <f>ROUND(AI$61*AH62,0)</f>
        <v>47609264</v>
      </c>
      <c r="AJ62" s="15"/>
      <c r="AK62" s="8"/>
      <c r="AL62" s="9"/>
      <c r="AM62" s="8"/>
    </row>
    <row r="63" spans="1:39" x14ac:dyDescent="0.25">
      <c r="A63" s="15"/>
      <c r="B63" s="46" t="s">
        <v>37</v>
      </c>
      <c r="C63" s="170">
        <v>0.05</v>
      </c>
      <c r="D63" s="15"/>
      <c r="E63" s="17"/>
      <c r="F63" s="17">
        <f t="shared" ref="F63:F64" si="31">F$61*$C63</f>
        <v>14078750</v>
      </c>
      <c r="G63" s="176">
        <v>0.05</v>
      </c>
      <c r="H63" s="17">
        <f>ROUND(H$61*G63,0)</f>
        <v>13998361</v>
      </c>
      <c r="I63" s="15"/>
      <c r="J63" s="176">
        <v>0.05</v>
      </c>
      <c r="K63" s="17">
        <f>ROUND(K$61*J63,0)</f>
        <v>14018750</v>
      </c>
      <c r="L63" s="15"/>
      <c r="M63" s="176">
        <v>0.05</v>
      </c>
      <c r="N63" s="17">
        <f>ROUND(N$61*M63,0)</f>
        <v>13959786</v>
      </c>
      <c r="O63" s="15"/>
      <c r="P63" s="176">
        <v>0.05</v>
      </c>
      <c r="Q63" s="17">
        <f>ROUND(Q$61*P63,0)</f>
        <v>13930923</v>
      </c>
      <c r="R63" s="15"/>
      <c r="S63" s="176">
        <v>0.05</v>
      </c>
      <c r="T63" s="17">
        <f>ROUND(T$61*S63,0)</f>
        <v>14007654</v>
      </c>
      <c r="U63" s="15"/>
      <c r="V63" s="176">
        <v>0.05</v>
      </c>
      <c r="W63" s="17">
        <f>ROUND(W$61*V63,0)</f>
        <v>13964750</v>
      </c>
      <c r="X63" s="15"/>
      <c r="Y63" s="176">
        <v>0.05</v>
      </c>
      <c r="Z63" s="17">
        <f>ROUND(Z$61*Y63,0)</f>
        <v>13981607</v>
      </c>
      <c r="AA63" s="15"/>
      <c r="AB63" s="176">
        <v>0.05</v>
      </c>
      <c r="AC63" s="17">
        <f>ROUND(AC$61*AB63,0)</f>
        <v>13953750</v>
      </c>
      <c r="AD63" s="15"/>
      <c r="AE63" s="176">
        <v>0.05</v>
      </c>
      <c r="AF63" s="17">
        <f>ROUND(AF$61*AE63,0)</f>
        <v>13999909</v>
      </c>
      <c r="AG63" s="15"/>
      <c r="AH63" s="176">
        <v>0.05</v>
      </c>
      <c r="AI63" s="17">
        <f>ROUND(AI$61*AH63,0)</f>
        <v>14002725</v>
      </c>
      <c r="AJ63" s="15"/>
      <c r="AK63" s="8"/>
      <c r="AL63" s="9"/>
      <c r="AM63" s="8"/>
    </row>
    <row r="64" spans="1:39" x14ac:dyDescent="0.25">
      <c r="A64" s="15"/>
      <c r="B64" s="46" t="s">
        <v>79</v>
      </c>
      <c r="C64" s="170">
        <v>0.03</v>
      </c>
      <c r="D64" s="15"/>
      <c r="E64" s="17"/>
      <c r="F64" s="17">
        <f t="shared" si="31"/>
        <v>8447250</v>
      </c>
      <c r="G64" s="176">
        <v>0.03</v>
      </c>
      <c r="H64" s="17">
        <f>ROUND(H$61*G64,0)</f>
        <v>8399016</v>
      </c>
      <c r="I64" s="15"/>
      <c r="J64" s="176">
        <v>0.03</v>
      </c>
      <c r="K64" s="17">
        <f>ROUND(K$61*J64,0)</f>
        <v>8411250</v>
      </c>
      <c r="L64" s="15"/>
      <c r="M64" s="176">
        <v>0.03</v>
      </c>
      <c r="N64" s="17">
        <f>ROUND(N$61*M64,0)</f>
        <v>8375872</v>
      </c>
      <c r="O64" s="15"/>
      <c r="P64" s="176">
        <v>0.03</v>
      </c>
      <c r="Q64" s="17">
        <f>ROUND(Q$61*P64,0)</f>
        <v>8358554</v>
      </c>
      <c r="R64" s="15"/>
      <c r="S64" s="176">
        <v>0.03</v>
      </c>
      <c r="T64" s="17">
        <f>ROUND(T$61*S64,0)</f>
        <v>8404592</v>
      </c>
      <c r="U64" s="15"/>
      <c r="V64" s="176">
        <v>0.03</v>
      </c>
      <c r="W64" s="17">
        <f>ROUND(W$61*V64,0)</f>
        <v>8378850</v>
      </c>
      <c r="X64" s="15"/>
      <c r="Y64" s="176">
        <v>0.03</v>
      </c>
      <c r="Z64" s="17">
        <f>ROUND(Z$61*Y64,0)</f>
        <v>8388964</v>
      </c>
      <c r="AA64" s="15"/>
      <c r="AB64" s="176">
        <v>0.03</v>
      </c>
      <c r="AC64" s="17">
        <f>ROUND(AC$61*AB64,0)</f>
        <v>8372250</v>
      </c>
      <c r="AD64" s="15"/>
      <c r="AE64" s="176">
        <v>0.03</v>
      </c>
      <c r="AF64" s="17">
        <f>ROUND(AF$61*AE64,0)</f>
        <v>8399945</v>
      </c>
      <c r="AG64" s="15"/>
      <c r="AH64" s="176">
        <v>0.03</v>
      </c>
      <c r="AI64" s="17">
        <f>ROUND(AI$61*AH64,0)</f>
        <v>8401635</v>
      </c>
      <c r="AJ64" s="15"/>
      <c r="AK64" s="8"/>
      <c r="AL64" s="9"/>
      <c r="AM64" s="8"/>
    </row>
    <row r="65" spans="1:39" x14ac:dyDescent="0.25">
      <c r="A65" s="15"/>
      <c r="B65" s="37" t="s">
        <v>38</v>
      </c>
      <c r="C65" s="171">
        <f>SUM(C62:C64)</f>
        <v>0.25</v>
      </c>
      <c r="D65" s="15"/>
      <c r="E65" s="17"/>
      <c r="F65" s="23">
        <f>ROUND(SUM(F62:F64),0)</f>
        <v>70393750</v>
      </c>
      <c r="G65" s="176">
        <f>SUM(G62:G64)</f>
        <v>0.25</v>
      </c>
      <c r="H65" s="23">
        <f>SUM(H62:H64)</f>
        <v>69991803</v>
      </c>
      <c r="I65" s="15" t="str">
        <f>+IF(G65&lt;=$C$65,"OK","NO OK")</f>
        <v>OK</v>
      </c>
      <c r="J65" s="176">
        <f>SUM(J62:J64)</f>
        <v>0.25</v>
      </c>
      <c r="K65" s="23">
        <f>SUM(K62:K64)</f>
        <v>70093750</v>
      </c>
      <c r="L65" s="15" t="str">
        <f>+IF(J65&lt;=$C$65,"OK","NO OK")</f>
        <v>OK</v>
      </c>
      <c r="M65" s="176">
        <f>SUM(M62:M64)</f>
        <v>0.25</v>
      </c>
      <c r="N65" s="23">
        <f>SUM(N62:N64)</f>
        <v>69798931</v>
      </c>
      <c r="O65" s="15" t="str">
        <f>+IF(M65&lt;=$C$65,"OK","NO OK")</f>
        <v>OK</v>
      </c>
      <c r="P65" s="176">
        <f>SUM(P62:P64)</f>
        <v>0.25</v>
      </c>
      <c r="Q65" s="23">
        <f>SUM(Q62:Q64)</f>
        <v>69654616</v>
      </c>
      <c r="R65" s="15" t="str">
        <f>+IF(P65&lt;=$C$65,"OK","NO OK")</f>
        <v>OK</v>
      </c>
      <c r="S65" s="176">
        <f>SUM(S62:S64)</f>
        <v>0.25</v>
      </c>
      <c r="T65" s="23">
        <f>SUM(T62:T64)</f>
        <v>70038269</v>
      </c>
      <c r="U65" s="15" t="str">
        <f>+IF(S65&lt;=$C$65,"OK","NO OK")</f>
        <v>OK</v>
      </c>
      <c r="V65" s="176">
        <f>SUM(V62:V64)</f>
        <v>0.25</v>
      </c>
      <c r="W65" s="23">
        <f>SUM(W62:W64)</f>
        <v>69823750</v>
      </c>
      <c r="X65" s="15" t="str">
        <f>+IF(V65&lt;=$C$65,"OK","NO OK")</f>
        <v>OK</v>
      </c>
      <c r="Y65" s="176">
        <f>SUM(Y62:Y64)</f>
        <v>0.25</v>
      </c>
      <c r="Z65" s="23">
        <f>SUM(Z62:Z64)</f>
        <v>69908034</v>
      </c>
      <c r="AA65" s="15" t="str">
        <f>+IF(Y65&lt;=$C$65,"OK","NO OK")</f>
        <v>OK</v>
      </c>
      <c r="AB65" s="176">
        <f>SUM(AB62:AB64)</f>
        <v>0.25</v>
      </c>
      <c r="AC65" s="23">
        <f>SUM(AC62:AC64)</f>
        <v>69768750</v>
      </c>
      <c r="AD65" s="15" t="str">
        <f>+IF(AB65&lt;=$C$65,"OK","NO OK")</f>
        <v>OK</v>
      </c>
      <c r="AE65" s="176">
        <f>SUM(AE62:AE64)</f>
        <v>0.25</v>
      </c>
      <c r="AF65" s="23">
        <f>SUM(AF62:AF64)</f>
        <v>69999545</v>
      </c>
      <c r="AG65" s="15" t="str">
        <f>+IF(AE65&lt;=$C$65,"OK","NO OK")</f>
        <v>OK</v>
      </c>
      <c r="AH65" s="176">
        <f>SUM(AH62:AH64)</f>
        <v>0.25</v>
      </c>
      <c r="AI65" s="23">
        <f>SUM(AI62:AI64)</f>
        <v>70013624</v>
      </c>
      <c r="AJ65" s="15" t="str">
        <f>+IF(AH65&lt;=$C$65,"OK","NO OK")</f>
        <v>OK</v>
      </c>
      <c r="AK65" s="8"/>
      <c r="AL65" s="9"/>
      <c r="AM65" s="8"/>
    </row>
    <row r="66" spans="1:39" x14ac:dyDescent="0.25">
      <c r="A66" s="15"/>
      <c r="B66" s="47" t="s">
        <v>39</v>
      </c>
      <c r="C66" s="175">
        <v>0.19</v>
      </c>
      <c r="D66" s="15"/>
      <c r="E66" s="17"/>
      <c r="F66" s="17">
        <f>ROUNDDOWN(F63*C66,0)</f>
        <v>2674962</v>
      </c>
      <c r="G66" s="176">
        <v>0.19</v>
      </c>
      <c r="H66" s="17">
        <f>ROUND(H63*G66,0)</f>
        <v>2659689</v>
      </c>
      <c r="I66" s="15"/>
      <c r="J66" s="176">
        <v>0.19</v>
      </c>
      <c r="K66" s="17">
        <f>ROUND(K63*J66,0)</f>
        <v>2663563</v>
      </c>
      <c r="L66" s="15"/>
      <c r="M66" s="176">
        <v>0.19</v>
      </c>
      <c r="N66" s="17">
        <f>ROUND(N63*M66,0)</f>
        <v>2652359</v>
      </c>
      <c r="O66" s="15"/>
      <c r="P66" s="176">
        <v>0.19</v>
      </c>
      <c r="Q66" s="17">
        <f>ROUND(Q63*P66,0)</f>
        <v>2646875</v>
      </c>
      <c r="R66" s="15"/>
      <c r="S66" s="176">
        <v>0.19</v>
      </c>
      <c r="T66" s="17">
        <f>ROUND(T63*S66,0)</f>
        <v>2661454</v>
      </c>
      <c r="U66" s="15"/>
      <c r="V66" s="176">
        <v>0.19</v>
      </c>
      <c r="W66" s="17">
        <f>ROUND(W63*V66,0)</f>
        <v>2653303</v>
      </c>
      <c r="X66" s="15"/>
      <c r="Y66" s="176">
        <v>0.19</v>
      </c>
      <c r="Z66" s="17">
        <f>ROUND(Z63*Y66,0)</f>
        <v>2656505</v>
      </c>
      <c r="AA66" s="15"/>
      <c r="AB66" s="176">
        <v>0.19</v>
      </c>
      <c r="AC66" s="17">
        <f>ROUND(AC63*AB66,0)</f>
        <v>2651213</v>
      </c>
      <c r="AD66" s="15"/>
      <c r="AE66" s="176">
        <v>0.19</v>
      </c>
      <c r="AF66" s="17">
        <f>ROUND(AF63*AE66,0)</f>
        <v>2659983</v>
      </c>
      <c r="AG66" s="15"/>
      <c r="AH66" s="176">
        <v>0.19</v>
      </c>
      <c r="AI66" s="17">
        <f>ROUND(AI63*AH66,0)</f>
        <v>2660518</v>
      </c>
      <c r="AJ66" s="15"/>
      <c r="AK66" s="8"/>
      <c r="AL66" s="9"/>
      <c r="AM66" s="8"/>
    </row>
    <row r="67" spans="1:39" x14ac:dyDescent="0.25">
      <c r="A67" s="15"/>
      <c r="B67" s="39" t="s">
        <v>85</v>
      </c>
      <c r="C67" s="15"/>
      <c r="D67" s="40"/>
      <c r="E67" s="17"/>
      <c r="F67" s="23">
        <f>F61+F65+F66</f>
        <v>354643712</v>
      </c>
      <c r="G67" s="55"/>
      <c r="I67" s="15"/>
      <c r="J67" s="55"/>
      <c r="L67" s="15"/>
      <c r="M67" s="55"/>
      <c r="O67" s="15"/>
      <c r="P67" s="55"/>
      <c r="R67" s="15"/>
      <c r="S67" s="55"/>
      <c r="U67" s="15"/>
      <c r="V67" s="55"/>
      <c r="X67" s="15"/>
      <c r="Y67" s="55"/>
      <c r="AA67" s="15"/>
      <c r="AB67" s="55"/>
      <c r="AD67" s="15"/>
      <c r="AE67" s="55"/>
      <c r="AG67" s="15"/>
      <c r="AH67" s="55"/>
      <c r="AJ67" s="15"/>
      <c r="AK67" s="8"/>
      <c r="AL67" s="9"/>
      <c r="AM67" s="8"/>
    </row>
    <row r="68" spans="1:39" x14ac:dyDescent="0.25">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8"/>
      <c r="AL68" s="9"/>
      <c r="AM68" s="8"/>
    </row>
    <row r="69" spans="1:39" ht="15" x14ac:dyDescent="0.25">
      <c r="A69" s="53"/>
      <c r="B69" s="54" t="s">
        <v>98</v>
      </c>
      <c r="C69" s="53"/>
      <c r="D69" s="53"/>
      <c r="E69" s="53"/>
      <c r="F69" s="53"/>
      <c r="G69" s="53"/>
      <c r="H69" s="56">
        <f>H61+H65+H66</f>
        <v>352618704</v>
      </c>
      <c r="I69" s="52" t="str">
        <f>+IF(H69&lt;=$F67,"OK","NO OK")</f>
        <v>OK</v>
      </c>
      <c r="J69" s="53"/>
      <c r="K69" s="56">
        <f>K61+K65+K66</f>
        <v>353132313</v>
      </c>
      <c r="L69" s="52" t="str">
        <f>+IF(K69&lt;=$F67,"OK","NO OK")</f>
        <v>OK</v>
      </c>
      <c r="M69" s="53"/>
      <c r="N69" s="56">
        <f>N61+N65+N66</f>
        <v>351647012</v>
      </c>
      <c r="O69" s="52" t="str">
        <f>+IF(N69&lt;=$F67,"OK","NO OK")</f>
        <v>OK</v>
      </c>
      <c r="P69" s="53"/>
      <c r="Q69" s="56">
        <f>Q61+Q65+Q66</f>
        <v>350919958</v>
      </c>
      <c r="R69" s="52" t="str">
        <f>+IF(Q69&lt;=$F67,"OK","NO OK")</f>
        <v>OK</v>
      </c>
      <c r="S69" s="53"/>
      <c r="T69" s="56">
        <f>T61+T65+T66</f>
        <v>352852800</v>
      </c>
      <c r="U69" s="52" t="str">
        <f>+IF(T69&lt;=$F67,"OK","NO OK")</f>
        <v>OK</v>
      </c>
      <c r="V69" s="53"/>
      <c r="W69" s="56">
        <f>W61+W65+W66</f>
        <v>351772053</v>
      </c>
      <c r="X69" s="52" t="str">
        <f>+IF(W69&lt;=$F67,"OK","NO OK")</f>
        <v>OK</v>
      </c>
      <c r="Y69" s="53"/>
      <c r="Z69" s="56">
        <f>Z61+Z65+Z66</f>
        <v>352196676</v>
      </c>
      <c r="AA69" s="52" t="str">
        <f>+IF(Z69&lt;=$F67,"OK","NO OK")</f>
        <v>OK</v>
      </c>
      <c r="AB69" s="53"/>
      <c r="AC69" s="56">
        <f>AC61+AC65+AC66</f>
        <v>351494963</v>
      </c>
      <c r="AD69" s="52" t="str">
        <f>+IF(AC69&lt;=$F67,"OK","NO OK")</f>
        <v>OK</v>
      </c>
      <c r="AE69" s="53"/>
      <c r="AF69" s="56">
        <f>AF61+AF65+AF66</f>
        <v>352657708</v>
      </c>
      <c r="AG69" s="52" t="str">
        <f>+IF(AF69&lt;=$F67,"OK","NO OK")</f>
        <v>OK</v>
      </c>
      <c r="AH69" s="53"/>
      <c r="AI69" s="56">
        <f>AI61+AI65+AI66</f>
        <v>352728637</v>
      </c>
      <c r="AJ69" s="52" t="str">
        <f>+IF(AI69&lt;=$F67,"OK","NO OK")</f>
        <v>OK</v>
      </c>
      <c r="AK69" s="8"/>
      <c r="AL69" s="9"/>
      <c r="AM69" s="8"/>
    </row>
    <row r="70" spans="1:39" ht="15" x14ac:dyDescent="0.25">
      <c r="A70" s="53"/>
      <c r="B70" s="54" t="s">
        <v>99</v>
      </c>
      <c r="C70" s="53"/>
      <c r="D70" s="53"/>
      <c r="E70" s="53"/>
      <c r="F70" s="53"/>
      <c r="G70" s="53"/>
      <c r="H70" s="122">
        <f>+ROUND(H69/$F67,4)</f>
        <v>0.99429999999999996</v>
      </c>
      <c r="I70" s="52" t="str">
        <f>+IF(H70&gt;=95%,"OK","NO OK")</f>
        <v>OK</v>
      </c>
      <c r="J70" s="53"/>
      <c r="K70" s="122">
        <f>+ROUND(K69/$F67,4)</f>
        <v>0.99570000000000003</v>
      </c>
      <c r="L70" s="52" t="str">
        <f>+IF(K70&gt;=95%,"OK","NO OK")</f>
        <v>OK</v>
      </c>
      <c r="M70" s="53"/>
      <c r="N70" s="122">
        <f>+ROUND(N69/$F67,4)</f>
        <v>0.99160000000000004</v>
      </c>
      <c r="O70" s="52" t="str">
        <f>+IF(N70&gt;=95%,"OK","NO OK")</f>
        <v>OK</v>
      </c>
      <c r="P70" s="53"/>
      <c r="Q70" s="122">
        <f>+ROUND(Q69/$F67,4)</f>
        <v>0.98950000000000005</v>
      </c>
      <c r="R70" s="52" t="str">
        <f>+IF(Q70&gt;=95%,"OK","NO OK")</f>
        <v>OK</v>
      </c>
      <c r="S70" s="53"/>
      <c r="T70" s="122">
        <f>+ROUND(T69/$F67,4)</f>
        <v>0.995</v>
      </c>
      <c r="U70" s="52" t="str">
        <f>+IF(T70&gt;=95%,"OK","NO OK")</f>
        <v>OK</v>
      </c>
      <c r="V70" s="53"/>
      <c r="W70" s="122">
        <f>+ROUND(W69/$F67,4)</f>
        <v>0.9919</v>
      </c>
      <c r="X70" s="52" t="str">
        <f>+IF(W70&gt;=95%,"OK","NO OK")</f>
        <v>OK</v>
      </c>
      <c r="Y70" s="53"/>
      <c r="Z70" s="122">
        <f>+ROUND(Z69/$F67,4)</f>
        <v>0.99309999999999998</v>
      </c>
      <c r="AA70" s="52" t="str">
        <f>+IF(Z70&gt;=95%,"OK","NO OK")</f>
        <v>OK</v>
      </c>
      <c r="AB70" s="53"/>
      <c r="AC70" s="122">
        <f>+ROUND(AC69/$F67,4)</f>
        <v>0.99109999999999998</v>
      </c>
      <c r="AD70" s="52" t="str">
        <f>+IF(AC70&gt;=95%,"OK","NO OK")</f>
        <v>OK</v>
      </c>
      <c r="AE70" s="53"/>
      <c r="AF70" s="122">
        <f>+ROUND(AF69/$F67,4)</f>
        <v>0.99439999999999995</v>
      </c>
      <c r="AG70" s="52" t="str">
        <f>+IF(AF70&gt;=95%,"OK","NO OK")</f>
        <v>OK</v>
      </c>
      <c r="AH70" s="53"/>
      <c r="AI70" s="122">
        <f>+ROUND(AI69/$F67,4)</f>
        <v>0.99460000000000004</v>
      </c>
      <c r="AJ70" s="52" t="str">
        <f>+IF(AI70&gt;=95%,"OK","NO OK")</f>
        <v>OK</v>
      </c>
      <c r="AK70" s="8"/>
      <c r="AL70" s="9"/>
      <c r="AM70" s="8"/>
    </row>
    <row r="71" spans="1:39" x14ac:dyDescent="0.25">
      <c r="A71" s="53"/>
      <c r="B71" s="54" t="s">
        <v>93</v>
      </c>
      <c r="C71" s="53"/>
      <c r="D71" s="53"/>
      <c r="E71" s="53"/>
      <c r="F71" s="53"/>
      <c r="G71" s="53"/>
      <c r="H71" s="23">
        <v>352618704</v>
      </c>
      <c r="I71" s="53"/>
      <c r="J71" s="53"/>
      <c r="K71" s="23">
        <v>353132313</v>
      </c>
      <c r="L71" s="53"/>
      <c r="M71" s="53"/>
      <c r="N71" s="23">
        <v>351647012</v>
      </c>
      <c r="O71" s="53"/>
      <c r="P71" s="53"/>
      <c r="Q71" s="23">
        <v>350919958</v>
      </c>
      <c r="R71" s="53"/>
      <c r="S71" s="53"/>
      <c r="T71" s="23">
        <v>352852761</v>
      </c>
      <c r="U71" s="53"/>
      <c r="V71" s="53"/>
      <c r="W71" s="23">
        <v>351772053</v>
      </c>
      <c r="X71" s="53"/>
      <c r="Y71" s="53"/>
      <c r="Z71" s="23">
        <v>352196677</v>
      </c>
      <c r="AA71" s="53"/>
      <c r="AB71" s="53"/>
      <c r="AC71" s="23">
        <v>351494963</v>
      </c>
      <c r="AD71" s="53"/>
      <c r="AE71" s="53"/>
      <c r="AF71" s="23">
        <v>352657708</v>
      </c>
      <c r="AG71" s="53"/>
      <c r="AH71" s="53"/>
      <c r="AI71" s="23">
        <v>352728637</v>
      </c>
      <c r="AJ71" s="53"/>
      <c r="AK71" s="8"/>
      <c r="AL71" s="9"/>
      <c r="AM71" s="8"/>
    </row>
    <row r="72" spans="1:39" x14ac:dyDescent="0.25">
      <c r="A72" s="53"/>
      <c r="B72" s="54" t="s">
        <v>94</v>
      </c>
      <c r="C72" s="53"/>
      <c r="D72" s="53"/>
      <c r="E72" s="53"/>
      <c r="F72" s="53"/>
      <c r="G72" s="53"/>
      <c r="H72" s="23">
        <f>+ABS(H69-H71)</f>
        <v>0</v>
      </c>
      <c r="I72" s="53"/>
      <c r="J72" s="53"/>
      <c r="K72" s="23">
        <f>+ABS(K69-K71)</f>
        <v>0</v>
      </c>
      <c r="L72" s="53"/>
      <c r="M72" s="53"/>
      <c r="N72" s="23">
        <f>+ABS(N69-N71)</f>
        <v>0</v>
      </c>
      <c r="O72" s="53"/>
      <c r="P72" s="53"/>
      <c r="Q72" s="23">
        <f>+ABS(Q69-Q71)</f>
        <v>0</v>
      </c>
      <c r="R72" s="53"/>
      <c r="S72" s="53"/>
      <c r="T72" s="23">
        <f>+ABS(T69-T71)</f>
        <v>39</v>
      </c>
      <c r="U72" s="53"/>
      <c r="V72" s="53"/>
      <c r="W72" s="23">
        <f>+ABS(W69-W71)</f>
        <v>0</v>
      </c>
      <c r="X72" s="53"/>
      <c r="Y72" s="53"/>
      <c r="Z72" s="23">
        <f>+ABS(Z69-Z71)</f>
        <v>1</v>
      </c>
      <c r="AA72" s="53"/>
      <c r="AB72" s="53"/>
      <c r="AC72" s="23">
        <f>+ABS(AC69-AC71)</f>
        <v>0</v>
      </c>
      <c r="AD72" s="53"/>
      <c r="AE72" s="53"/>
      <c r="AF72" s="23">
        <f>+ABS(AF69-AF71)</f>
        <v>0</v>
      </c>
      <c r="AG72" s="53"/>
      <c r="AH72" s="53"/>
      <c r="AI72" s="23">
        <f>+ABS(AI69-AI71)</f>
        <v>0</v>
      </c>
      <c r="AJ72" s="53"/>
      <c r="AK72" s="8"/>
      <c r="AL72" s="9"/>
      <c r="AM72" s="8"/>
    </row>
    <row r="73" spans="1:39" ht="15" x14ac:dyDescent="0.25">
      <c r="A73" s="53"/>
      <c r="B73" s="54" t="s">
        <v>173</v>
      </c>
      <c r="C73" s="53"/>
      <c r="D73" s="53"/>
      <c r="E73" s="53"/>
      <c r="F73" s="53"/>
      <c r="G73" s="53"/>
      <c r="H73" s="57">
        <f>+H72/H71</f>
        <v>0</v>
      </c>
      <c r="I73" s="58" t="str">
        <f>+IF(H73&gt;0.1%,"NO OK","OK")</f>
        <v>OK</v>
      </c>
      <c r="J73" s="53"/>
      <c r="K73" s="57">
        <f>+K72/K71</f>
        <v>0</v>
      </c>
      <c r="L73" s="58" t="str">
        <f>+IF(K73&gt;0.1%,"NO OK","OK")</f>
        <v>OK</v>
      </c>
      <c r="M73" s="53"/>
      <c r="N73" s="57">
        <f>+N72/N71</f>
        <v>0</v>
      </c>
      <c r="O73" s="58" t="str">
        <f>+IF(N73&gt;0.1%,"NO OK","OK")</f>
        <v>OK</v>
      </c>
      <c r="P73" s="53"/>
      <c r="Q73" s="57">
        <f>+Q72/Q71</f>
        <v>0</v>
      </c>
      <c r="R73" s="58" t="str">
        <f>+IF(Q73&gt;0.1%,"NO OK","OK")</f>
        <v>OK</v>
      </c>
      <c r="S73" s="53"/>
      <c r="T73" s="57">
        <f>+T72/T71</f>
        <v>1.1052768834647152E-7</v>
      </c>
      <c r="U73" s="58" t="str">
        <f>+IF(T73&gt;0.1%,"NO OK","OK")</f>
        <v>OK</v>
      </c>
      <c r="V73" s="53"/>
      <c r="W73" s="57">
        <f>+W72/W71</f>
        <v>0</v>
      </c>
      <c r="X73" s="58" t="str">
        <f>+IF(W73&gt;0.1%,"NO OK","OK")</f>
        <v>OK</v>
      </c>
      <c r="Y73" s="53"/>
      <c r="Z73" s="57">
        <f>+Z72/Z71</f>
        <v>2.8393226435807626E-9</v>
      </c>
      <c r="AA73" s="58" t="str">
        <f>+IF(Z73&gt;0.1%,"NO OK","OK")</f>
        <v>OK</v>
      </c>
      <c r="AB73" s="53"/>
      <c r="AC73" s="57">
        <f>+AC72/AC71</f>
        <v>0</v>
      </c>
      <c r="AD73" s="58" t="str">
        <f>+IF(AC73&gt;0.1%,"NO OK","OK")</f>
        <v>OK</v>
      </c>
      <c r="AE73" s="53"/>
      <c r="AF73" s="57">
        <f>+AF72/AF71</f>
        <v>0</v>
      </c>
      <c r="AG73" s="58" t="str">
        <f>+IF(AF73&gt;0.1%,"NO OK","OK")</f>
        <v>OK</v>
      </c>
      <c r="AH73" s="53"/>
      <c r="AI73" s="57">
        <f>+AI72/AI71</f>
        <v>0</v>
      </c>
      <c r="AJ73" s="58" t="str">
        <f>+IF(AI73&gt;0.1%,"NO OK","OK")</f>
        <v>OK</v>
      </c>
      <c r="AK73" s="8"/>
      <c r="AL73" s="9"/>
      <c r="AM73" s="8"/>
    </row>
    <row r="74" spans="1:39" ht="15" x14ac:dyDescent="0.25">
      <c r="A74" s="53"/>
      <c r="B74" s="54" t="s">
        <v>95</v>
      </c>
      <c r="C74" s="53"/>
      <c r="D74" s="53"/>
      <c r="E74" s="53"/>
      <c r="F74" s="53"/>
      <c r="G74" s="53"/>
      <c r="H74" s="53"/>
      <c r="I74" s="58" t="s">
        <v>97</v>
      </c>
      <c r="J74" s="53"/>
      <c r="K74" s="53"/>
      <c r="L74" s="58" t="s">
        <v>97</v>
      </c>
      <c r="M74" s="53"/>
      <c r="N74" s="53"/>
      <c r="O74" s="58" t="s">
        <v>97</v>
      </c>
      <c r="P74" s="53"/>
      <c r="Q74" s="53"/>
      <c r="R74" s="58" t="s">
        <v>97</v>
      </c>
      <c r="S74" s="53"/>
      <c r="T74" s="53"/>
      <c r="U74" s="58" t="s">
        <v>168</v>
      </c>
      <c r="V74" s="53"/>
      <c r="W74" s="53"/>
      <c r="X74" s="58" t="s">
        <v>97</v>
      </c>
      <c r="Y74" s="53"/>
      <c r="Z74" s="53"/>
      <c r="AA74" s="58" t="s">
        <v>97</v>
      </c>
      <c r="AB74" s="53"/>
      <c r="AC74" s="53"/>
      <c r="AD74" s="58" t="s">
        <v>97</v>
      </c>
      <c r="AE74" s="53"/>
      <c r="AF74" s="53"/>
      <c r="AG74" s="58" t="s">
        <v>97</v>
      </c>
      <c r="AH74" s="53"/>
      <c r="AI74" s="53"/>
      <c r="AJ74" s="58" t="s">
        <v>97</v>
      </c>
      <c r="AK74" s="8"/>
      <c r="AL74" s="9"/>
      <c r="AM74" s="8"/>
    </row>
    <row r="75" spans="1:39" ht="15" x14ac:dyDescent="0.25">
      <c r="A75" s="53"/>
      <c r="B75" s="54" t="s">
        <v>96</v>
      </c>
      <c r="C75" s="53"/>
      <c r="D75" s="53"/>
      <c r="E75" s="53"/>
      <c r="F75" s="53"/>
      <c r="G75" s="336" t="str">
        <f>+IF(I69="OK",IF(I70="OK",IF(I73="OK",IF(I74="OK",IF(I65="OK","SI","NO"),"NO"),"NO"),"NO"),"NO")</f>
        <v>SI</v>
      </c>
      <c r="H75" s="337"/>
      <c r="I75" s="338"/>
      <c r="J75" s="336" t="str">
        <f>+IF(L69="OK",IF(L70="OK",IF(L73="OK",IF(L74="OK",IF(L65="OK","SI","NO"),"NO"),"NO"),"NO"),"NO")</f>
        <v>SI</v>
      </c>
      <c r="K75" s="337"/>
      <c r="L75" s="338"/>
      <c r="M75" s="336" t="str">
        <f>+IF(O69="OK",IF(O70="OK",IF(O73="OK",IF(O74="OK",IF(O65="OK","SI","NO"),"NO"),"NO"),"NO"),"NO")</f>
        <v>SI</v>
      </c>
      <c r="N75" s="337"/>
      <c r="O75" s="338"/>
      <c r="P75" s="336" t="str">
        <f>+IF(R69="OK",IF(R70="OK",IF(R73="OK",IF(R74="OK",IF(R65="OK","SI","NO"),"NO"),"NO"),"NO"),"NO")</f>
        <v>SI</v>
      </c>
      <c r="Q75" s="337"/>
      <c r="R75" s="338"/>
      <c r="S75" s="336" t="str">
        <f>+IF(U69="OK",IF(U70="OK",IF(U73="OK",IF(U74="OK",IF(U65="OK","SI","NO"),"NO"),"NO"),"NO"),"NO")</f>
        <v>NO</v>
      </c>
      <c r="T75" s="337"/>
      <c r="U75" s="338"/>
      <c r="V75" s="336" t="str">
        <f>+IF(X69="OK",IF(X70="OK",IF(X73="OK",IF(X74="OK",IF(X65="OK","SI","NO"),"NO"),"NO"),"NO"),"NO")</f>
        <v>SI</v>
      </c>
      <c r="W75" s="337"/>
      <c r="X75" s="338"/>
      <c r="Y75" s="336" t="str">
        <f>+IF(AA69="OK",IF(AA70="OK",IF(AA73="OK",IF(AA74="OK",IF(AA65="OK","SI","NO"),"NO"),"NO"),"NO"),"NO")</f>
        <v>SI</v>
      </c>
      <c r="Z75" s="337"/>
      <c r="AA75" s="338"/>
      <c r="AB75" s="336" t="str">
        <f>+IF(AD69="OK",IF(AD70="OK",IF(AD73="OK",IF(AD74="OK",IF(AD65="OK","SI","NO"),"NO"),"NO"),"NO"),"NO")</f>
        <v>SI</v>
      </c>
      <c r="AC75" s="337"/>
      <c r="AD75" s="338"/>
      <c r="AE75" s="336" t="str">
        <f>+IF(AG69="OK",IF(AG70="OK",IF(AG73="OK",IF(AG74="OK",IF(AG65="OK","SI","NO"),"NO"),"NO"),"NO"),"NO")</f>
        <v>SI</v>
      </c>
      <c r="AF75" s="337"/>
      <c r="AG75" s="338"/>
      <c r="AH75" s="336" t="str">
        <f>+IF(AJ69="OK",IF(AJ70="OK",IF(AJ73="OK",IF(AJ74="OK",IF(AJ65="OK","SI","NO"),"NO"),"NO"),"NO"),"NO")</f>
        <v>SI</v>
      </c>
      <c r="AI75" s="337"/>
      <c r="AJ75" s="338"/>
      <c r="AK75" s="8"/>
      <c r="AL75" s="9"/>
      <c r="AM75" s="8"/>
    </row>
    <row r="76" spans="1:39" x14ac:dyDescent="0.25">
      <c r="AK76" s="8"/>
      <c r="AL76" s="9"/>
      <c r="AM76" s="8"/>
    </row>
    <row r="77" spans="1:39" ht="15.75" x14ac:dyDescent="0.25">
      <c r="B77" s="99" t="s">
        <v>129</v>
      </c>
      <c r="G77" s="99"/>
      <c r="H77" s="116"/>
      <c r="I77" s="116"/>
      <c r="J77" s="99"/>
      <c r="K77" s="116"/>
      <c r="L77" s="116"/>
      <c r="M77" s="99"/>
      <c r="N77" s="116"/>
      <c r="O77" s="116"/>
      <c r="P77" s="99"/>
      <c r="Q77" s="116"/>
      <c r="R77" s="116"/>
      <c r="S77" s="99"/>
      <c r="T77" s="116"/>
      <c r="U77" s="116"/>
      <c r="V77" s="99"/>
      <c r="W77" s="116"/>
      <c r="X77" s="116"/>
      <c r="Y77" s="99"/>
      <c r="Z77" s="116"/>
      <c r="AA77" s="116"/>
      <c r="AB77" s="99"/>
      <c r="AC77" s="116"/>
      <c r="AD77" s="116"/>
      <c r="AE77" s="99"/>
      <c r="AF77" s="116"/>
      <c r="AG77" s="116"/>
      <c r="AH77" s="99"/>
      <c r="AI77" s="116"/>
      <c r="AJ77" s="116"/>
      <c r="AK77" s="8"/>
      <c r="AL77" s="9"/>
      <c r="AM77" s="8"/>
    </row>
    <row r="78" spans="1:39" x14ac:dyDescent="0.25">
      <c r="G78" s="115"/>
      <c r="H78" s="116"/>
      <c r="I78" s="116"/>
      <c r="J78" s="115"/>
      <c r="K78" s="116"/>
      <c r="L78" s="116"/>
      <c r="M78" s="115"/>
      <c r="N78" s="116"/>
      <c r="O78" s="116"/>
      <c r="P78" s="115"/>
      <c r="Q78" s="116"/>
      <c r="R78" s="116"/>
      <c r="S78" s="115"/>
      <c r="T78" s="116"/>
      <c r="U78" s="116"/>
      <c r="V78" s="115"/>
      <c r="W78" s="116"/>
      <c r="X78" s="116"/>
      <c r="Y78" s="115"/>
      <c r="Z78" s="116"/>
      <c r="AA78" s="116"/>
      <c r="AB78" s="115"/>
      <c r="AC78" s="116"/>
      <c r="AD78" s="116"/>
      <c r="AE78" s="115"/>
      <c r="AF78" s="116"/>
      <c r="AG78" s="116"/>
      <c r="AH78" s="115"/>
      <c r="AI78" s="116"/>
      <c r="AJ78" s="116"/>
    </row>
    <row r="79" spans="1:39" x14ac:dyDescent="0.25">
      <c r="G79" s="115"/>
      <c r="H79" s="116"/>
      <c r="I79" s="116"/>
      <c r="J79" s="115"/>
      <c r="K79" s="116"/>
      <c r="L79" s="116"/>
      <c r="M79" s="115"/>
      <c r="N79" s="116"/>
      <c r="O79" s="116"/>
      <c r="P79" s="115"/>
      <c r="Q79" s="116"/>
      <c r="R79" s="116"/>
      <c r="S79" s="115"/>
      <c r="T79" s="116"/>
      <c r="U79" s="116"/>
      <c r="V79" s="115"/>
      <c r="W79" s="116"/>
      <c r="X79" s="116"/>
      <c r="Y79" s="115"/>
      <c r="Z79" s="116"/>
      <c r="AA79" s="116"/>
      <c r="AB79" s="115"/>
      <c r="AC79" s="116"/>
      <c r="AD79" s="116"/>
      <c r="AE79" s="115"/>
      <c r="AF79" s="116"/>
      <c r="AG79" s="116"/>
      <c r="AH79" s="115"/>
      <c r="AI79" s="116"/>
      <c r="AJ79" s="116"/>
    </row>
    <row r="80" spans="1:39" x14ac:dyDescent="0.25">
      <c r="G80" s="115"/>
      <c r="H80" s="116"/>
      <c r="I80" s="116"/>
      <c r="J80" s="115"/>
      <c r="K80" s="116"/>
      <c r="L80" s="116"/>
      <c r="M80" s="115"/>
      <c r="N80" s="116"/>
      <c r="O80" s="116"/>
      <c r="P80" s="115"/>
      <c r="Q80" s="116"/>
      <c r="R80" s="116"/>
      <c r="S80" s="115"/>
      <c r="T80" s="116"/>
      <c r="U80" s="116"/>
      <c r="V80" s="115"/>
      <c r="W80" s="116"/>
      <c r="X80" s="116"/>
      <c r="Y80" s="115"/>
      <c r="Z80" s="116"/>
      <c r="AA80" s="116"/>
      <c r="AB80" s="115"/>
      <c r="AC80" s="116"/>
      <c r="AD80" s="116"/>
      <c r="AE80" s="115"/>
      <c r="AF80" s="116"/>
      <c r="AG80" s="116"/>
      <c r="AH80" s="115"/>
      <c r="AI80" s="116"/>
      <c r="AJ80" s="116"/>
    </row>
    <row r="81" spans="2:36" x14ac:dyDescent="0.25">
      <c r="G81" s="115"/>
      <c r="H81" s="116"/>
      <c r="I81" s="116"/>
      <c r="J81" s="115"/>
      <c r="K81" s="116"/>
      <c r="L81" s="116"/>
      <c r="M81" s="115"/>
      <c r="N81" s="116"/>
      <c r="O81" s="116"/>
      <c r="P81" s="115"/>
      <c r="Q81" s="116"/>
      <c r="R81" s="116"/>
      <c r="S81" s="115"/>
      <c r="T81" s="116"/>
      <c r="U81" s="116"/>
      <c r="V81" s="115"/>
      <c r="W81" s="116"/>
      <c r="X81" s="116"/>
      <c r="Y81" s="115"/>
      <c r="Z81" s="116"/>
      <c r="AA81" s="116"/>
      <c r="AB81" s="115"/>
      <c r="AC81" s="116"/>
      <c r="AD81" s="116"/>
      <c r="AE81" s="115"/>
      <c r="AF81" s="116"/>
      <c r="AG81" s="116"/>
      <c r="AH81" s="115"/>
      <c r="AI81" s="116"/>
      <c r="AJ81" s="116"/>
    </row>
    <row r="82" spans="2:36" ht="15.75" x14ac:dyDescent="0.25">
      <c r="B82" s="118" t="s">
        <v>170</v>
      </c>
      <c r="C82" s="118" t="s">
        <v>130</v>
      </c>
      <c r="G82" s="118"/>
      <c r="H82" s="116"/>
      <c r="I82" s="118"/>
      <c r="J82" s="118"/>
      <c r="K82" s="116"/>
      <c r="L82" s="118"/>
      <c r="M82" s="118"/>
      <c r="N82" s="116"/>
      <c r="O82" s="118"/>
      <c r="P82" s="118"/>
      <c r="Q82" s="116"/>
      <c r="R82" s="118"/>
      <c r="S82" s="118"/>
      <c r="T82" s="116"/>
      <c r="U82" s="118"/>
      <c r="V82" s="118"/>
      <c r="W82" s="116"/>
      <c r="X82" s="118"/>
      <c r="Y82" s="118"/>
      <c r="Z82" s="116"/>
      <c r="AA82" s="118"/>
      <c r="AB82" s="118"/>
      <c r="AC82" s="116"/>
      <c r="AD82" s="118"/>
      <c r="AE82" s="118"/>
      <c r="AF82" s="116"/>
      <c r="AG82" s="118"/>
      <c r="AH82" s="118"/>
      <c r="AI82" s="116"/>
      <c r="AJ82" s="118"/>
    </row>
    <row r="83" spans="2:36" ht="15.75" x14ac:dyDescent="0.25">
      <c r="B83" s="119" t="s">
        <v>131</v>
      </c>
      <c r="C83" s="119" t="s">
        <v>169</v>
      </c>
      <c r="G83" s="119"/>
      <c r="H83" s="116"/>
      <c r="I83" s="119"/>
      <c r="J83" s="119"/>
      <c r="K83" s="116"/>
      <c r="L83" s="119"/>
      <c r="M83" s="119"/>
      <c r="N83" s="116"/>
      <c r="O83" s="119"/>
      <c r="P83" s="119"/>
      <c r="Q83" s="116"/>
      <c r="R83" s="119"/>
      <c r="S83" s="119"/>
      <c r="T83" s="116"/>
      <c r="U83" s="119"/>
      <c r="V83" s="119"/>
      <c r="W83" s="116"/>
      <c r="X83" s="119"/>
      <c r="Y83" s="119"/>
      <c r="Z83" s="116"/>
      <c r="AA83" s="119"/>
      <c r="AB83" s="119"/>
      <c r="AC83" s="116"/>
      <c r="AD83" s="119"/>
      <c r="AE83" s="119"/>
      <c r="AF83" s="116"/>
      <c r="AG83" s="119"/>
      <c r="AH83" s="119"/>
      <c r="AI83" s="116"/>
      <c r="AJ83" s="119"/>
    </row>
    <row r="84" spans="2:36" ht="15.75" x14ac:dyDescent="0.25">
      <c r="B84" s="119"/>
      <c r="G84" s="119"/>
      <c r="H84" s="116"/>
      <c r="I84" s="116"/>
      <c r="J84" s="119"/>
      <c r="K84" s="116"/>
      <c r="L84" s="116"/>
      <c r="M84" s="119"/>
      <c r="N84" s="116"/>
      <c r="O84" s="116"/>
      <c r="P84" s="119"/>
      <c r="Q84" s="116"/>
      <c r="R84" s="116"/>
      <c r="S84" s="119"/>
      <c r="T84" s="116"/>
      <c r="U84" s="116"/>
      <c r="V84" s="119"/>
      <c r="W84" s="116"/>
      <c r="X84" s="116"/>
      <c r="Y84" s="119"/>
      <c r="Z84" s="116"/>
      <c r="AA84" s="116"/>
      <c r="AB84" s="119"/>
      <c r="AC84" s="116"/>
      <c r="AD84" s="116"/>
      <c r="AE84" s="119"/>
      <c r="AF84" s="116"/>
      <c r="AG84" s="116"/>
      <c r="AH84" s="119"/>
      <c r="AI84" s="116"/>
      <c r="AJ84" s="116"/>
    </row>
    <row r="85" spans="2:36" ht="15.75" x14ac:dyDescent="0.25">
      <c r="B85" s="119"/>
      <c r="G85" s="119"/>
      <c r="H85" s="121"/>
      <c r="I85" s="121"/>
      <c r="J85" s="119"/>
      <c r="K85" s="121"/>
      <c r="L85" s="121"/>
      <c r="M85" s="119"/>
      <c r="N85" s="121"/>
      <c r="O85" s="121"/>
      <c r="P85" s="119"/>
      <c r="Q85" s="121"/>
      <c r="R85" s="121"/>
      <c r="S85" s="119"/>
      <c r="T85" s="121"/>
      <c r="U85" s="121"/>
      <c r="V85" s="119"/>
      <c r="W85" s="121"/>
      <c r="X85" s="121"/>
      <c r="Y85" s="119"/>
      <c r="Z85" s="121"/>
      <c r="AA85" s="121"/>
      <c r="AB85" s="119"/>
      <c r="AC85" s="121"/>
      <c r="AD85" s="121"/>
      <c r="AE85" s="119"/>
      <c r="AF85" s="121"/>
      <c r="AG85" s="121"/>
      <c r="AH85" s="119"/>
      <c r="AI85" s="121"/>
      <c r="AJ85" s="121"/>
    </row>
    <row r="86" spans="2:36" ht="15.75" x14ac:dyDescent="0.25">
      <c r="B86" s="119"/>
      <c r="G86" s="119"/>
      <c r="H86" s="121"/>
      <c r="I86" s="121"/>
      <c r="J86" s="119"/>
      <c r="K86" s="121"/>
      <c r="L86" s="121"/>
      <c r="M86" s="119"/>
      <c r="N86" s="121"/>
      <c r="O86" s="121"/>
      <c r="P86" s="119"/>
      <c r="Q86" s="121"/>
      <c r="R86" s="121"/>
      <c r="S86" s="119"/>
      <c r="T86" s="121"/>
      <c r="U86" s="121"/>
      <c r="V86" s="119"/>
      <c r="W86" s="121"/>
      <c r="X86" s="121"/>
      <c r="Y86" s="119"/>
      <c r="Z86" s="121"/>
      <c r="AA86" s="121"/>
      <c r="AB86" s="119"/>
      <c r="AC86" s="121"/>
      <c r="AD86" s="121"/>
      <c r="AE86" s="119"/>
      <c r="AF86" s="121"/>
      <c r="AG86" s="121"/>
      <c r="AH86" s="119"/>
      <c r="AI86" s="121"/>
      <c r="AJ86" s="121"/>
    </row>
    <row r="87" spans="2:36" ht="15.75" x14ac:dyDescent="0.25">
      <c r="B87" s="119"/>
      <c r="G87" s="119"/>
      <c r="H87" s="121"/>
      <c r="I87" s="121"/>
      <c r="J87" s="119"/>
      <c r="K87" s="121"/>
      <c r="L87" s="121"/>
      <c r="M87" s="119"/>
      <c r="N87" s="121"/>
      <c r="O87" s="121"/>
      <c r="P87" s="119"/>
      <c r="Q87" s="121"/>
      <c r="R87" s="121"/>
      <c r="S87" s="119"/>
      <c r="T87" s="121"/>
      <c r="U87" s="121"/>
      <c r="V87" s="119"/>
      <c r="W87" s="121"/>
      <c r="X87" s="121"/>
      <c r="Y87" s="119"/>
      <c r="Z87" s="121"/>
      <c r="AA87" s="121"/>
      <c r="AB87" s="119"/>
      <c r="AC87" s="121"/>
      <c r="AD87" s="121"/>
      <c r="AE87" s="119"/>
      <c r="AF87" s="121"/>
      <c r="AG87" s="121"/>
      <c r="AH87" s="119"/>
      <c r="AI87" s="121"/>
      <c r="AJ87" s="121"/>
    </row>
    <row r="88" spans="2:36" ht="15.75" x14ac:dyDescent="0.25">
      <c r="B88" s="118" t="s">
        <v>132</v>
      </c>
      <c r="C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c r="AG88" s="118"/>
      <c r="AH88" s="118"/>
      <c r="AI88" s="118"/>
      <c r="AJ88" s="118"/>
    </row>
    <row r="89" spans="2:36" ht="15.75" x14ac:dyDescent="0.25">
      <c r="B89" s="119" t="s">
        <v>133</v>
      </c>
      <c r="C89" s="119"/>
      <c r="G89" s="119"/>
      <c r="H89" s="121"/>
      <c r="I89" s="121"/>
      <c r="J89" s="119"/>
      <c r="K89" s="121"/>
      <c r="L89" s="121"/>
      <c r="M89" s="119"/>
      <c r="N89" s="121"/>
      <c r="O89" s="121"/>
      <c r="P89" s="119"/>
      <c r="Q89" s="121"/>
      <c r="R89" s="121"/>
      <c r="S89" s="119"/>
      <c r="T89" s="121"/>
      <c r="U89" s="121"/>
      <c r="V89" s="119"/>
      <c r="W89" s="121"/>
      <c r="X89" s="121"/>
      <c r="Y89" s="119"/>
      <c r="Z89" s="121"/>
      <c r="AA89" s="121"/>
      <c r="AB89" s="119"/>
      <c r="AC89" s="121"/>
      <c r="AD89" s="121"/>
      <c r="AE89" s="119"/>
      <c r="AF89" s="121"/>
      <c r="AG89" s="121"/>
      <c r="AH89" s="119"/>
      <c r="AI89" s="121"/>
      <c r="AJ89" s="121"/>
    </row>
    <row r="90" spans="2:36" ht="15.75" x14ac:dyDescent="0.25">
      <c r="B90" s="119" t="s">
        <v>134</v>
      </c>
      <c r="G90" s="119"/>
      <c r="H90" s="121"/>
      <c r="I90" s="121"/>
      <c r="J90" s="119"/>
      <c r="K90" s="121"/>
      <c r="L90" s="121"/>
      <c r="M90" s="119"/>
      <c r="N90" s="121"/>
      <c r="O90" s="121"/>
      <c r="P90" s="119"/>
      <c r="Q90" s="121"/>
      <c r="R90" s="121"/>
      <c r="S90" s="119"/>
      <c r="T90" s="121"/>
      <c r="U90" s="121"/>
      <c r="V90" s="119"/>
      <c r="W90" s="121"/>
      <c r="X90" s="121"/>
      <c r="Y90" s="119"/>
      <c r="Z90" s="121"/>
      <c r="AA90" s="121"/>
      <c r="AB90" s="119"/>
      <c r="AC90" s="121"/>
      <c r="AD90" s="121"/>
      <c r="AE90" s="119"/>
      <c r="AF90" s="121"/>
      <c r="AG90" s="121"/>
      <c r="AH90" s="119"/>
      <c r="AI90" s="121"/>
      <c r="AJ90" s="121"/>
    </row>
  </sheetData>
  <mergeCells count="55">
    <mergeCell ref="AB75:AD75"/>
    <mergeCell ref="Y3:AA4"/>
    <mergeCell ref="Y5:AA5"/>
    <mergeCell ref="Y6:Y7"/>
    <mergeCell ref="Z6:Z7"/>
    <mergeCell ref="Y75:AA75"/>
    <mergeCell ref="AH3:AJ4"/>
    <mergeCell ref="AH5:AJ5"/>
    <mergeCell ref="AH6:AH7"/>
    <mergeCell ref="AI6:AI7"/>
    <mergeCell ref="AH75:AJ75"/>
    <mergeCell ref="AE3:AG4"/>
    <mergeCell ref="AE5:AG5"/>
    <mergeCell ref="AE6:AE7"/>
    <mergeCell ref="AF6:AF7"/>
    <mergeCell ref="AE75:AG75"/>
    <mergeCell ref="V75:X75"/>
    <mergeCell ref="M5:O5"/>
    <mergeCell ref="M6:M7"/>
    <mergeCell ref="N6:N7"/>
    <mergeCell ref="M75:O75"/>
    <mergeCell ref="P3:R4"/>
    <mergeCell ref="P5:R5"/>
    <mergeCell ref="P6:P7"/>
    <mergeCell ref="Q6:Q7"/>
    <mergeCell ref="P75:R75"/>
    <mergeCell ref="S3:U4"/>
    <mergeCell ref="S5:U5"/>
    <mergeCell ref="S6:S7"/>
    <mergeCell ref="T6:T7"/>
    <mergeCell ref="S75:U75"/>
    <mergeCell ref="A6:F6"/>
    <mergeCell ref="G75:I75"/>
    <mergeCell ref="J3:L4"/>
    <mergeCell ref="J5:L5"/>
    <mergeCell ref="J6:J7"/>
    <mergeCell ref="K6:K7"/>
    <mergeCell ref="J75:L75"/>
    <mergeCell ref="G6:G7"/>
    <mergeCell ref="H6:H7"/>
    <mergeCell ref="M3:O4"/>
    <mergeCell ref="A1:F1"/>
    <mergeCell ref="A2:F2"/>
    <mergeCell ref="A5:F5"/>
    <mergeCell ref="G5:I5"/>
    <mergeCell ref="G3:I4"/>
    <mergeCell ref="A3:F4"/>
    <mergeCell ref="V3:X4"/>
    <mergeCell ref="V5:X5"/>
    <mergeCell ref="V6:V7"/>
    <mergeCell ref="W6:W7"/>
    <mergeCell ref="AB3:AD4"/>
    <mergeCell ref="AB5:AD5"/>
    <mergeCell ref="AB6:AB7"/>
    <mergeCell ref="AC6:AC7"/>
  </mergeCells>
  <conditionalFormatting sqref="I9:I59">
    <cfRule type="containsText" dxfId="59" priority="1361" operator="containsText" text="NO OK">
      <formula>NOT(ISERROR(SEARCH("NO OK",I9)))</formula>
    </cfRule>
  </conditionalFormatting>
  <conditionalFormatting sqref="M75">
    <cfRule type="containsText" dxfId="58" priority="846" operator="containsText" text="NO">
      <formula>NOT(ISERROR(SEARCH("NO",M75)))</formula>
    </cfRule>
  </conditionalFormatting>
  <conditionalFormatting sqref="O73">
    <cfRule type="containsText" dxfId="57" priority="1207" operator="containsText" text="NO OK">
      <formula>NOT(ISERROR(SEARCH("NO OK",O73)))</formula>
    </cfRule>
  </conditionalFormatting>
  <conditionalFormatting sqref="I73">
    <cfRule type="containsText" dxfId="56" priority="1355" operator="containsText" text="NO OK">
      <formula>NOT(ISERROR(SEARCH("NO OK",I73)))</formula>
    </cfRule>
  </conditionalFormatting>
  <conditionalFormatting sqref="I69:I70">
    <cfRule type="containsText" dxfId="55" priority="1353" operator="containsText" text="NO OK">
      <formula>NOT(ISERROR(SEARCH("NO OK",I69)))</formula>
    </cfRule>
  </conditionalFormatting>
  <conditionalFormatting sqref="I74">
    <cfRule type="containsText" dxfId="54" priority="1352" operator="containsText" text="NO OK">
      <formula>NOT(ISERROR(SEARCH("NO OK",I74)))</formula>
    </cfRule>
  </conditionalFormatting>
  <conditionalFormatting sqref="V75">
    <cfRule type="containsText" dxfId="53" priority="849" operator="containsText" text="NO">
      <formula>NOT(ISERROR(SEARCH("NO",V75)))</formula>
    </cfRule>
  </conditionalFormatting>
  <conditionalFormatting sqref="L74">
    <cfRule type="containsText" dxfId="52" priority="1230" operator="containsText" text="NO OK">
      <formula>NOT(ISERROR(SEARCH("NO OK",L74)))</formula>
    </cfRule>
  </conditionalFormatting>
  <conditionalFormatting sqref="O74">
    <cfRule type="containsText" dxfId="51" priority="1204" operator="containsText" text="NO OK">
      <formula>NOT(ISERROR(SEARCH("NO OK",O74)))</formula>
    </cfRule>
  </conditionalFormatting>
  <conditionalFormatting sqref="L9:L59">
    <cfRule type="containsText" dxfId="50" priority="1234" operator="containsText" text="NO OK">
      <formula>NOT(ISERROR(SEARCH("NO OK",L9)))</formula>
    </cfRule>
  </conditionalFormatting>
  <conditionalFormatting sqref="O9:O59">
    <cfRule type="containsText" dxfId="49" priority="1208" operator="containsText" text="NO OK">
      <formula>NOT(ISERROR(SEARCH("NO OK",O9)))</formula>
    </cfRule>
  </conditionalFormatting>
  <conditionalFormatting sqref="L73">
    <cfRule type="containsText" dxfId="48" priority="1233" operator="containsText" text="NO OK">
      <formula>NOT(ISERROR(SEARCH("NO OK",L73)))</formula>
    </cfRule>
  </conditionalFormatting>
  <conditionalFormatting sqref="L69:L70">
    <cfRule type="containsText" dxfId="47" priority="1231" operator="containsText" text="NO OK">
      <formula>NOT(ISERROR(SEARCH("NO OK",L69)))</formula>
    </cfRule>
  </conditionalFormatting>
  <conditionalFormatting sqref="R74">
    <cfRule type="containsText" dxfId="46" priority="1178" operator="containsText" text="NO OK">
      <formula>NOT(ISERROR(SEARCH("NO OK",R74)))</formula>
    </cfRule>
  </conditionalFormatting>
  <conditionalFormatting sqref="R9:R59">
    <cfRule type="containsText" dxfId="45" priority="1182" operator="containsText" text="NO OK">
      <formula>NOT(ISERROR(SEARCH("NO OK",R9)))</formula>
    </cfRule>
  </conditionalFormatting>
  <conditionalFormatting sqref="O69:O70">
    <cfRule type="containsText" dxfId="44" priority="1205" operator="containsText" text="NO OK">
      <formula>NOT(ISERROR(SEARCH("NO OK",O69)))</formula>
    </cfRule>
  </conditionalFormatting>
  <conditionalFormatting sqref="U74">
    <cfRule type="containsText" dxfId="43" priority="1152" operator="containsText" text="NO OK">
      <formula>NOT(ISERROR(SEARCH("NO OK",U74)))</formula>
    </cfRule>
  </conditionalFormatting>
  <conditionalFormatting sqref="X74">
    <cfRule type="containsText" dxfId="42" priority="1126" operator="containsText" text="NO OK">
      <formula>NOT(ISERROR(SEARCH("NO OK",X74)))</formula>
    </cfRule>
  </conditionalFormatting>
  <conditionalFormatting sqref="U9:U59">
    <cfRule type="containsText" dxfId="41" priority="1156" operator="containsText" text="NO OK">
      <formula>NOT(ISERROR(SEARCH("NO OK",U9)))</formula>
    </cfRule>
  </conditionalFormatting>
  <conditionalFormatting sqref="R73">
    <cfRule type="containsText" dxfId="40" priority="1181" operator="containsText" text="NO OK">
      <formula>NOT(ISERROR(SEARCH("NO OK",R73)))</formula>
    </cfRule>
  </conditionalFormatting>
  <conditionalFormatting sqref="R69:R70">
    <cfRule type="containsText" dxfId="39" priority="1179" operator="containsText" text="NO OK">
      <formula>NOT(ISERROR(SEARCH("NO OK",R69)))</formula>
    </cfRule>
  </conditionalFormatting>
  <conditionalFormatting sqref="AA74">
    <cfRule type="containsText" dxfId="38" priority="1100" operator="containsText" text="NO OK">
      <formula>NOT(ISERROR(SEARCH("NO OK",AA74)))</formula>
    </cfRule>
  </conditionalFormatting>
  <conditionalFormatting sqref="X9:X59">
    <cfRule type="containsText" dxfId="37" priority="1130" operator="containsText" text="NO OK">
      <formula>NOT(ISERROR(SEARCH("NO OK",X9)))</formula>
    </cfRule>
  </conditionalFormatting>
  <conditionalFormatting sqref="U73">
    <cfRule type="containsText" dxfId="36" priority="1155" operator="containsText" text="NO OK">
      <formula>NOT(ISERROR(SEARCH("NO OK",U73)))</formula>
    </cfRule>
  </conditionalFormatting>
  <conditionalFormatting sqref="U69:U70">
    <cfRule type="containsText" dxfId="35" priority="1153" operator="containsText" text="NO OK">
      <formula>NOT(ISERROR(SEARCH("NO OK",U69)))</formula>
    </cfRule>
  </conditionalFormatting>
  <conditionalFormatting sqref="AD74">
    <cfRule type="containsText" dxfId="34" priority="1074" operator="containsText" text="NO OK">
      <formula>NOT(ISERROR(SEARCH("NO OK",AD74)))</formula>
    </cfRule>
  </conditionalFormatting>
  <conditionalFormatting sqref="AA9:AA59">
    <cfRule type="containsText" dxfId="33" priority="1104" operator="containsText" text="NO OK">
      <formula>NOT(ISERROR(SEARCH("NO OK",AA9)))</formula>
    </cfRule>
  </conditionalFormatting>
  <conditionalFormatting sqref="X73">
    <cfRule type="containsText" dxfId="32" priority="1129" operator="containsText" text="NO OK">
      <formula>NOT(ISERROR(SEARCH("NO OK",X73)))</formula>
    </cfRule>
  </conditionalFormatting>
  <conditionalFormatting sqref="X69:X70">
    <cfRule type="containsText" dxfId="31" priority="1127" operator="containsText" text="NO OK">
      <formula>NOT(ISERROR(SEARCH("NO OK",X69)))</formula>
    </cfRule>
  </conditionalFormatting>
  <conditionalFormatting sqref="AG74">
    <cfRule type="containsText" dxfId="30" priority="1048" operator="containsText" text="NO OK">
      <formula>NOT(ISERROR(SEARCH("NO OK",AG74)))</formula>
    </cfRule>
  </conditionalFormatting>
  <conditionalFormatting sqref="AD9:AD59">
    <cfRule type="containsText" dxfId="29" priority="1078" operator="containsText" text="NO OK">
      <formula>NOT(ISERROR(SEARCH("NO OK",AD9)))</formula>
    </cfRule>
  </conditionalFormatting>
  <conditionalFormatting sqref="AA73">
    <cfRule type="containsText" dxfId="28" priority="1103" operator="containsText" text="NO OK">
      <formula>NOT(ISERROR(SEARCH("NO OK",AA73)))</formula>
    </cfRule>
  </conditionalFormatting>
  <conditionalFormatting sqref="AA69:AA70">
    <cfRule type="containsText" dxfId="27" priority="1101" operator="containsText" text="NO OK">
      <formula>NOT(ISERROR(SEARCH("NO OK",AA69)))</formula>
    </cfRule>
  </conditionalFormatting>
  <conditionalFormatting sqref="AJ74">
    <cfRule type="containsText" dxfId="26" priority="1022" operator="containsText" text="NO OK">
      <formula>NOT(ISERROR(SEARCH("NO OK",AJ74)))</formula>
    </cfRule>
  </conditionalFormatting>
  <conditionalFormatting sqref="AG9:AG59">
    <cfRule type="containsText" dxfId="25" priority="1052" operator="containsText" text="NO OK">
      <formula>NOT(ISERROR(SEARCH("NO OK",AG9)))</formula>
    </cfRule>
  </conditionalFormatting>
  <conditionalFormatting sqref="AD73">
    <cfRule type="containsText" dxfId="24" priority="1077" operator="containsText" text="NO OK">
      <formula>NOT(ISERROR(SEARCH("NO OK",AD73)))</formula>
    </cfRule>
  </conditionalFormatting>
  <conditionalFormatting sqref="AD69:AD70">
    <cfRule type="containsText" dxfId="23" priority="1075" operator="containsText" text="NO OK">
      <formula>NOT(ISERROR(SEARCH("NO OK",AD69)))</formula>
    </cfRule>
  </conditionalFormatting>
  <conditionalFormatting sqref="AJ9:AJ59">
    <cfRule type="containsText" dxfId="22" priority="1026" operator="containsText" text="NO OK">
      <formula>NOT(ISERROR(SEARCH("NO OK",AJ9)))</formula>
    </cfRule>
  </conditionalFormatting>
  <conditionalFormatting sqref="AG73">
    <cfRule type="containsText" dxfId="21" priority="1051" operator="containsText" text="NO OK">
      <formula>NOT(ISERROR(SEARCH("NO OK",AG73)))</formula>
    </cfRule>
  </conditionalFormatting>
  <conditionalFormatting sqref="AG69:AG70">
    <cfRule type="containsText" dxfId="20" priority="1049" operator="containsText" text="NO OK">
      <formula>NOT(ISERROR(SEARCH("NO OK",AG69)))</formula>
    </cfRule>
  </conditionalFormatting>
  <conditionalFormatting sqref="AJ73">
    <cfRule type="containsText" dxfId="19" priority="1025" operator="containsText" text="NO OK">
      <formula>NOT(ISERROR(SEARCH("NO OK",AJ73)))</formula>
    </cfRule>
  </conditionalFormatting>
  <conditionalFormatting sqref="AJ69:AJ70">
    <cfRule type="containsText" dxfId="18" priority="1023" operator="containsText" text="NO OK">
      <formula>NOT(ISERROR(SEARCH("NO OK",AJ69)))</formula>
    </cfRule>
  </conditionalFormatting>
  <conditionalFormatting sqref="Y75">
    <cfRule type="containsText" dxfId="17" priority="850" operator="containsText" text="NO">
      <formula>NOT(ISERROR(SEARCH("NO",Y75)))</formula>
    </cfRule>
  </conditionalFormatting>
  <conditionalFormatting sqref="AD65">
    <cfRule type="cellIs" dxfId="16" priority="864" operator="equal">
      <formula>"NO OK"</formula>
    </cfRule>
  </conditionalFormatting>
  <conditionalFormatting sqref="AG65">
    <cfRule type="cellIs" dxfId="15" priority="865" operator="equal">
      <formula>"NO OK"</formula>
    </cfRule>
  </conditionalFormatting>
  <conditionalFormatting sqref="AA65">
    <cfRule type="cellIs" dxfId="14" priority="863" operator="equal">
      <formula>"NO OK"</formula>
    </cfRule>
  </conditionalFormatting>
  <conditionalFormatting sqref="X65">
    <cfRule type="cellIs" dxfId="13" priority="862" operator="equal">
      <formula>"NO OK"</formula>
    </cfRule>
  </conditionalFormatting>
  <conditionalFormatting sqref="U65">
    <cfRule type="cellIs" dxfId="12" priority="861" operator="equal">
      <formula>"NO OK"</formula>
    </cfRule>
  </conditionalFormatting>
  <conditionalFormatting sqref="R65">
    <cfRule type="cellIs" dxfId="11" priority="860" operator="equal">
      <formula>"NO OK"</formula>
    </cfRule>
  </conditionalFormatting>
  <conditionalFormatting sqref="O65">
    <cfRule type="cellIs" dxfId="10" priority="859" operator="equal">
      <formula>"NO OK"</formula>
    </cfRule>
  </conditionalFormatting>
  <conditionalFormatting sqref="I65">
    <cfRule type="cellIs" dxfId="9" priority="858" operator="equal">
      <formula>"NO OK"</formula>
    </cfRule>
  </conditionalFormatting>
  <conditionalFormatting sqref="AH75">
    <cfRule type="containsText" dxfId="8" priority="853" operator="containsText" text="NO">
      <formula>NOT(ISERROR(SEARCH("NO",AH75)))</formula>
    </cfRule>
  </conditionalFormatting>
  <conditionalFormatting sqref="AE75">
    <cfRule type="containsText" dxfId="7" priority="852" operator="containsText" text="NO">
      <formula>NOT(ISERROR(SEARCH("NO",AE75)))</formula>
    </cfRule>
  </conditionalFormatting>
  <conditionalFormatting sqref="AB75">
    <cfRule type="containsText" dxfId="6" priority="851" operator="containsText" text="NO">
      <formula>NOT(ISERROR(SEARCH("NO",AB75)))</formula>
    </cfRule>
  </conditionalFormatting>
  <conditionalFormatting sqref="S75">
    <cfRule type="containsText" dxfId="5" priority="848" operator="containsText" text="NO">
      <formula>NOT(ISERROR(SEARCH("NO",S75)))</formula>
    </cfRule>
  </conditionalFormatting>
  <conditionalFormatting sqref="P75">
    <cfRule type="containsText" dxfId="4" priority="847" operator="containsText" text="NO">
      <formula>NOT(ISERROR(SEARCH("NO",P75)))</formula>
    </cfRule>
  </conditionalFormatting>
  <conditionalFormatting sqref="J75">
    <cfRule type="containsText" dxfId="3" priority="845" operator="containsText" text="NO">
      <formula>NOT(ISERROR(SEARCH("NO",J75)))</formula>
    </cfRule>
  </conditionalFormatting>
  <conditionalFormatting sqref="G75">
    <cfRule type="containsText" dxfId="2" priority="844" operator="containsText" text="NO">
      <formula>NOT(ISERROR(SEARCH("NO",G75)))</formula>
    </cfRule>
  </conditionalFormatting>
  <conditionalFormatting sqref="L65">
    <cfRule type="cellIs" dxfId="1" priority="3" operator="equal">
      <formula>"NO OK"</formula>
    </cfRule>
  </conditionalFormatting>
  <conditionalFormatting sqref="AJ65">
    <cfRule type="cellIs" dxfId="0" priority="1" operator="equal">
      <formula>"NO OK"</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333" t="s">
        <v>87</v>
      </c>
      <c r="B1" s="333"/>
      <c r="C1" s="333"/>
      <c r="D1" s="333"/>
      <c r="E1" s="333"/>
      <c r="F1" s="333"/>
    </row>
    <row r="2" spans="1:6" x14ac:dyDescent="0.25">
      <c r="A2" s="333"/>
      <c r="B2" s="333"/>
      <c r="C2" s="333"/>
      <c r="D2" s="333"/>
      <c r="E2" s="333"/>
      <c r="F2" s="333"/>
    </row>
    <row r="3" spans="1:6" ht="18" customHeight="1" x14ac:dyDescent="0.25">
      <c r="A3" s="334" t="s">
        <v>63</v>
      </c>
      <c r="B3" s="334"/>
      <c r="C3" s="334"/>
      <c r="D3" s="334"/>
      <c r="E3" s="334"/>
      <c r="F3" s="334"/>
    </row>
    <row r="4" spans="1:6" ht="59.25" customHeight="1" x14ac:dyDescent="0.25">
      <c r="A4" s="334"/>
      <c r="B4" s="334"/>
      <c r="C4" s="334"/>
      <c r="D4" s="334"/>
      <c r="E4" s="334"/>
      <c r="F4" s="334"/>
    </row>
    <row r="5" spans="1:6" x14ac:dyDescent="0.25">
      <c r="A5" s="334"/>
      <c r="B5" s="334"/>
      <c r="C5" s="334"/>
      <c r="D5" s="334"/>
      <c r="E5" s="334"/>
      <c r="F5" s="334"/>
    </row>
    <row r="6" spans="1:6" ht="15" customHeight="1" x14ac:dyDescent="0.25">
      <c r="A6" s="335" t="s">
        <v>90</v>
      </c>
      <c r="B6" s="335"/>
      <c r="C6" s="335"/>
      <c r="D6" s="335"/>
      <c r="E6" s="335"/>
      <c r="F6" s="335"/>
    </row>
    <row r="7" spans="1:6" x14ac:dyDescent="0.25">
      <c r="A7" s="14" t="s">
        <v>0</v>
      </c>
      <c r="B7" s="14" t="s">
        <v>67</v>
      </c>
      <c r="C7" s="14" t="s">
        <v>4</v>
      </c>
      <c r="D7" s="14" t="s">
        <v>1</v>
      </c>
      <c r="E7" s="14" t="s">
        <v>64</v>
      </c>
      <c r="F7" s="14" t="s">
        <v>65</v>
      </c>
    </row>
    <row r="8" spans="1:6" x14ac:dyDescent="0.25">
      <c r="A8" s="14">
        <v>1</v>
      </c>
      <c r="B8" s="3" t="s">
        <v>50</v>
      </c>
      <c r="C8" s="14"/>
      <c r="D8" s="14"/>
      <c r="E8" s="14"/>
      <c r="F8" s="14"/>
    </row>
    <row r="9" spans="1:6" ht="51" x14ac:dyDescent="0.25">
      <c r="A9" s="15">
        <v>1.01</v>
      </c>
      <c r="B9" s="16" t="s">
        <v>45</v>
      </c>
      <c r="C9" s="15" t="s">
        <v>2</v>
      </c>
      <c r="D9" s="15">
        <v>4</v>
      </c>
      <c r="E9" s="17"/>
      <c r="F9" s="17"/>
    </row>
    <row r="10" spans="1:6" ht="51" x14ac:dyDescent="0.25">
      <c r="A10" s="15">
        <v>1.02</v>
      </c>
      <c r="B10" s="16" t="s">
        <v>46</v>
      </c>
      <c r="C10" s="15" t="s">
        <v>2</v>
      </c>
      <c r="D10" s="15">
        <v>4</v>
      </c>
      <c r="E10" s="17"/>
      <c r="F10" s="17"/>
    </row>
    <row r="11" spans="1:6" ht="76.5" x14ac:dyDescent="0.25">
      <c r="A11" s="15">
        <v>1.03</v>
      </c>
      <c r="B11" s="16" t="s">
        <v>47</v>
      </c>
      <c r="C11" s="15" t="s">
        <v>2</v>
      </c>
      <c r="D11" s="15">
        <v>4</v>
      </c>
      <c r="E11" s="17"/>
      <c r="F11" s="17"/>
    </row>
    <row r="12" spans="1:6" ht="76.5" x14ac:dyDescent="0.25">
      <c r="A12" s="15">
        <v>1.04</v>
      </c>
      <c r="B12" s="16" t="s">
        <v>6</v>
      </c>
      <c r="C12" s="15" t="s">
        <v>2</v>
      </c>
      <c r="D12" s="15">
        <v>1</v>
      </c>
      <c r="E12" s="17"/>
      <c r="F12" s="17"/>
    </row>
    <row r="13" spans="1:6" ht="102" x14ac:dyDescent="0.25">
      <c r="A13" s="15">
        <v>1.05</v>
      </c>
      <c r="B13" s="16" t="s">
        <v>20</v>
      </c>
      <c r="C13" s="15" t="s">
        <v>2</v>
      </c>
      <c r="D13" s="15">
        <v>40</v>
      </c>
      <c r="E13" s="17"/>
      <c r="F13" s="17"/>
    </row>
    <row r="14" spans="1:6" ht="102" x14ac:dyDescent="0.25">
      <c r="A14" s="15">
        <v>1.06</v>
      </c>
      <c r="B14" s="16" t="s">
        <v>68</v>
      </c>
      <c r="C14" s="15" t="s">
        <v>2</v>
      </c>
      <c r="D14" s="15">
        <v>43</v>
      </c>
      <c r="E14" s="17"/>
      <c r="F14" s="17"/>
    </row>
    <row r="15" spans="1:6" ht="25.5" x14ac:dyDescent="0.25">
      <c r="A15" s="15">
        <v>1.07</v>
      </c>
      <c r="B15" s="16" t="s">
        <v>44</v>
      </c>
      <c r="C15" s="15" t="s">
        <v>7</v>
      </c>
      <c r="D15" s="15">
        <v>80</v>
      </c>
      <c r="E15" s="17"/>
      <c r="F15" s="17"/>
    </row>
    <row r="16" spans="1:6" ht="25.5" x14ac:dyDescent="0.25">
      <c r="A16" s="15">
        <v>1.08</v>
      </c>
      <c r="B16" s="16" t="s">
        <v>21</v>
      </c>
      <c r="C16" s="15" t="s">
        <v>7</v>
      </c>
      <c r="D16" s="15">
        <v>80</v>
      </c>
      <c r="E16" s="17"/>
      <c r="F16" s="17"/>
    </row>
    <row r="17" spans="1:13" ht="76.5" x14ac:dyDescent="0.25">
      <c r="A17" s="15">
        <v>1.0900000000000001</v>
      </c>
      <c r="B17" s="16" t="s">
        <v>8</v>
      </c>
      <c r="C17" s="15" t="s">
        <v>2</v>
      </c>
      <c r="D17" s="15">
        <v>4</v>
      </c>
      <c r="E17" s="18"/>
      <c r="F17" s="17"/>
    </row>
    <row r="18" spans="1:13" ht="25.5" x14ac:dyDescent="0.25">
      <c r="A18" s="15">
        <v>1.1000000000000001</v>
      </c>
      <c r="B18" s="16" t="s">
        <v>48</v>
      </c>
      <c r="C18" s="15" t="s">
        <v>2</v>
      </c>
      <c r="D18" s="15">
        <v>4</v>
      </c>
      <c r="E18" s="17"/>
      <c r="F18" s="17"/>
    </row>
    <row r="19" spans="1:13" ht="51" x14ac:dyDescent="0.25">
      <c r="A19" s="15">
        <v>1.1100000000000001</v>
      </c>
      <c r="B19" s="16" t="s">
        <v>9</v>
      </c>
      <c r="C19" s="15" t="s">
        <v>2</v>
      </c>
      <c r="D19" s="15">
        <v>4</v>
      </c>
      <c r="E19" s="18"/>
      <c r="F19" s="17"/>
    </row>
    <row r="20" spans="1:13" ht="25.5" x14ac:dyDescent="0.25">
      <c r="A20" s="15">
        <v>1.1200000000000001</v>
      </c>
      <c r="B20" s="16" t="s">
        <v>49</v>
      </c>
      <c r="C20" s="15" t="s">
        <v>2</v>
      </c>
      <c r="D20" s="15">
        <v>4</v>
      </c>
      <c r="E20" s="17"/>
      <c r="F20" s="17"/>
    </row>
    <row r="21" spans="1:13" ht="25.5" x14ac:dyDescent="0.25">
      <c r="A21" s="15">
        <v>1.1299999999999999</v>
      </c>
      <c r="B21" s="16" t="s">
        <v>5</v>
      </c>
      <c r="C21" s="15" t="s">
        <v>7</v>
      </c>
      <c r="D21" s="15">
        <v>140</v>
      </c>
      <c r="E21" s="17"/>
      <c r="F21" s="17"/>
    </row>
    <row r="22" spans="1:13" ht="51" x14ac:dyDescent="0.25">
      <c r="A22" s="15">
        <v>1.1399999999999999</v>
      </c>
      <c r="B22" s="16" t="s">
        <v>10</v>
      </c>
      <c r="C22" s="15" t="s">
        <v>7</v>
      </c>
      <c r="D22" s="15">
        <v>90</v>
      </c>
      <c r="E22" s="17"/>
      <c r="F22" s="17"/>
    </row>
    <row r="23" spans="1:13" ht="25.5" x14ac:dyDescent="0.25">
      <c r="A23" s="15">
        <v>1.1499999999999999</v>
      </c>
      <c r="B23" s="16" t="s">
        <v>11</v>
      </c>
      <c r="C23" s="15" t="s">
        <v>2</v>
      </c>
      <c r="D23" s="15">
        <v>1</v>
      </c>
      <c r="E23" s="18"/>
      <c r="F23" s="17"/>
    </row>
    <row r="24" spans="1:13" x14ac:dyDescent="0.25">
      <c r="A24" s="15">
        <v>1.1599999999999999</v>
      </c>
      <c r="B24" s="16" t="s">
        <v>53</v>
      </c>
      <c r="C24" s="15" t="s">
        <v>12</v>
      </c>
      <c r="D24" s="15">
        <v>1</v>
      </c>
      <c r="E24" s="18"/>
      <c r="F24" s="17"/>
    </row>
    <row r="25" spans="1:13" ht="38.25" x14ac:dyDescent="0.25">
      <c r="A25" s="15">
        <v>1.17</v>
      </c>
      <c r="B25" s="19" t="s">
        <v>42</v>
      </c>
      <c r="C25" s="15" t="s">
        <v>2</v>
      </c>
      <c r="D25" s="15">
        <v>1</v>
      </c>
      <c r="E25" s="20"/>
      <c r="F25" s="17"/>
    </row>
    <row r="26" spans="1:13" ht="38.25" x14ac:dyDescent="0.25">
      <c r="A26" s="15">
        <v>1.18</v>
      </c>
      <c r="B26" s="16" t="s">
        <v>52</v>
      </c>
      <c r="C26" s="15" t="s">
        <v>2</v>
      </c>
      <c r="D26" s="15">
        <v>2</v>
      </c>
      <c r="E26" s="18"/>
      <c r="F26" s="17"/>
      <c r="I26" s="4">
        <f>2300000-E26</f>
        <v>2300000</v>
      </c>
      <c r="J26" s="5"/>
      <c r="K26" s="5"/>
      <c r="L26" s="5"/>
      <c r="M26" s="5"/>
    </row>
    <row r="27" spans="1:13" x14ac:dyDescent="0.25">
      <c r="A27" s="15">
        <v>1.19</v>
      </c>
      <c r="B27" s="16" t="s">
        <v>55</v>
      </c>
      <c r="C27" s="15" t="s">
        <v>56</v>
      </c>
      <c r="D27" s="15">
        <v>64</v>
      </c>
      <c r="E27" s="18"/>
      <c r="F27" s="17"/>
      <c r="I27" s="4"/>
      <c r="J27" s="5"/>
      <c r="K27" s="5"/>
      <c r="L27" s="5"/>
      <c r="M27" s="5"/>
    </row>
    <row r="28" spans="1:13" ht="25.5" x14ac:dyDescent="0.25">
      <c r="A28" s="44" t="s">
        <v>13</v>
      </c>
      <c r="B28" s="16" t="s">
        <v>57</v>
      </c>
      <c r="C28" s="15" t="s">
        <v>54</v>
      </c>
      <c r="D28" s="21">
        <v>120</v>
      </c>
      <c r="E28" s="18"/>
      <c r="F28" s="17"/>
      <c r="I28" s="5"/>
      <c r="J28" s="5"/>
      <c r="K28" s="5"/>
      <c r="L28" s="5">
        <f>1021000/8500</f>
        <v>120.11764705882354</v>
      </c>
      <c r="M28" s="5"/>
    </row>
    <row r="29" spans="1:13" x14ac:dyDescent="0.25">
      <c r="A29" s="15">
        <v>1.21</v>
      </c>
      <c r="B29" s="16" t="s">
        <v>62</v>
      </c>
      <c r="C29" s="15" t="s">
        <v>12</v>
      </c>
      <c r="D29" s="21">
        <v>1</v>
      </c>
      <c r="E29" s="18"/>
      <c r="F29" s="17"/>
      <c r="I29" s="5"/>
      <c r="J29" s="5"/>
      <c r="K29" s="5"/>
      <c r="L29" s="5"/>
      <c r="M29" s="5"/>
    </row>
    <row r="30" spans="1:13" x14ac:dyDescent="0.25">
      <c r="A30" s="15"/>
      <c r="B30" s="22" t="s">
        <v>41</v>
      </c>
      <c r="C30" s="14"/>
      <c r="D30" s="14"/>
      <c r="E30" s="23"/>
      <c r="F30" s="23"/>
      <c r="I30" s="5"/>
      <c r="J30" s="5"/>
      <c r="K30" s="5"/>
      <c r="L30" s="5"/>
      <c r="M30" s="5"/>
    </row>
    <row r="31" spans="1:13" x14ac:dyDescent="0.25">
      <c r="A31" s="14">
        <v>2</v>
      </c>
      <c r="B31" s="42" t="s">
        <v>51</v>
      </c>
      <c r="C31" s="14"/>
      <c r="D31" s="14"/>
      <c r="E31" s="23"/>
      <c r="F31" s="23"/>
      <c r="I31" s="5"/>
      <c r="J31" s="5"/>
      <c r="K31" s="5"/>
      <c r="L31" s="5"/>
      <c r="M31" s="5"/>
    </row>
    <row r="32" spans="1:13" ht="38.25" x14ac:dyDescent="0.25">
      <c r="A32" s="15">
        <v>2.0099999999999998</v>
      </c>
      <c r="B32" s="16" t="s">
        <v>3</v>
      </c>
      <c r="C32" s="15" t="s">
        <v>2</v>
      </c>
      <c r="D32" s="15">
        <v>1</v>
      </c>
      <c r="E32" s="20"/>
      <c r="F32" s="17"/>
      <c r="I32" s="5"/>
      <c r="J32" s="5"/>
      <c r="K32" s="5"/>
      <c r="L32" s="6"/>
      <c r="M32" s="5"/>
    </row>
    <row r="33" spans="1:13" ht="76.5" x14ac:dyDescent="0.25">
      <c r="A33" s="15">
        <v>2.02</v>
      </c>
      <c r="B33" s="16" t="s">
        <v>22</v>
      </c>
      <c r="C33" s="15" t="s">
        <v>2</v>
      </c>
      <c r="D33" s="15">
        <v>60</v>
      </c>
      <c r="E33" s="17"/>
      <c r="F33" s="17"/>
      <c r="I33" s="5"/>
      <c r="J33" s="5"/>
      <c r="K33" s="5"/>
      <c r="L33" s="5"/>
      <c r="M33" s="5"/>
    </row>
    <row r="34" spans="1:13" ht="76.5" x14ac:dyDescent="0.25">
      <c r="A34" s="15">
        <v>2.0299999999999998</v>
      </c>
      <c r="B34" s="16" t="s">
        <v>15</v>
      </c>
      <c r="C34" s="15" t="s">
        <v>2</v>
      </c>
      <c r="D34" s="15">
        <v>6</v>
      </c>
      <c r="E34" s="17"/>
      <c r="F34" s="17"/>
    </row>
    <row r="35" spans="1:13" ht="25.5" x14ac:dyDescent="0.25">
      <c r="A35" s="15">
        <v>2.04</v>
      </c>
      <c r="B35" s="19" t="s">
        <v>16</v>
      </c>
      <c r="C35" s="15" t="s">
        <v>7</v>
      </c>
      <c r="D35" s="15">
        <v>2135</v>
      </c>
      <c r="E35" s="17"/>
      <c r="F35" s="17"/>
    </row>
    <row r="36" spans="1:13" ht="25.5" x14ac:dyDescent="0.25">
      <c r="A36" s="15">
        <v>2.0499999999999998</v>
      </c>
      <c r="B36" s="19" t="s">
        <v>17</v>
      </c>
      <c r="C36" s="24" t="s">
        <v>2</v>
      </c>
      <c r="D36" s="15">
        <v>72</v>
      </c>
      <c r="E36" s="25"/>
      <c r="F36" s="17"/>
    </row>
    <row r="37" spans="1:13" ht="25.5" x14ac:dyDescent="0.25">
      <c r="A37" s="15">
        <v>2.06</v>
      </c>
      <c r="B37" s="19" t="s">
        <v>18</v>
      </c>
      <c r="C37" s="15" t="s">
        <v>2</v>
      </c>
      <c r="D37" s="15">
        <v>72</v>
      </c>
      <c r="E37" s="25"/>
      <c r="F37" s="17"/>
      <c r="I37" s="7"/>
    </row>
    <row r="38" spans="1:13" x14ac:dyDescent="0.25">
      <c r="A38" s="15">
        <v>2.0699999999999998</v>
      </c>
      <c r="B38" s="16" t="s">
        <v>14</v>
      </c>
      <c r="C38" s="15" t="s">
        <v>2</v>
      </c>
      <c r="D38" s="15">
        <v>72</v>
      </c>
      <c r="E38" s="18"/>
      <c r="F38" s="17"/>
    </row>
    <row r="39" spans="1:13" x14ac:dyDescent="0.25">
      <c r="A39" s="15"/>
      <c r="B39" s="41" t="s">
        <v>60</v>
      </c>
      <c r="C39" s="15"/>
      <c r="D39" s="15"/>
      <c r="E39" s="25"/>
      <c r="F39" s="23"/>
    </row>
    <row r="40" spans="1:13" ht="25.5" x14ac:dyDescent="0.25">
      <c r="A40" s="27">
        <v>3</v>
      </c>
      <c r="B40" s="43" t="s">
        <v>61</v>
      </c>
      <c r="C40" s="28"/>
      <c r="D40" s="29"/>
      <c r="E40" s="30"/>
      <c r="F40" s="30"/>
    </row>
    <row r="41" spans="1:13" x14ac:dyDescent="0.25">
      <c r="A41" s="15">
        <v>3.01</v>
      </c>
      <c r="B41" s="19" t="s">
        <v>23</v>
      </c>
      <c r="C41" s="31" t="s">
        <v>2</v>
      </c>
      <c r="D41" s="31">
        <v>4</v>
      </c>
      <c r="E41" s="32"/>
      <c r="F41" s="17"/>
    </row>
    <row r="42" spans="1:13" ht="25.5" x14ac:dyDescent="0.25">
      <c r="A42" s="15">
        <v>3.02</v>
      </c>
      <c r="B42" s="19" t="s">
        <v>24</v>
      </c>
      <c r="C42" s="31" t="s">
        <v>2</v>
      </c>
      <c r="D42" s="31">
        <v>4</v>
      </c>
      <c r="E42" s="32"/>
      <c r="F42" s="17"/>
    </row>
    <row r="43" spans="1:13" x14ac:dyDescent="0.25">
      <c r="A43" s="15">
        <v>3.03</v>
      </c>
      <c r="B43" s="33" t="s">
        <v>25</v>
      </c>
      <c r="C43" s="31" t="s">
        <v>7</v>
      </c>
      <c r="D43" s="31">
        <v>130</v>
      </c>
      <c r="E43" s="32"/>
      <c r="F43" s="17"/>
    </row>
    <row r="44" spans="1:13" x14ac:dyDescent="0.25">
      <c r="A44" s="15">
        <v>3.04</v>
      </c>
      <c r="B44" s="19" t="s">
        <v>43</v>
      </c>
      <c r="C44" s="31" t="s">
        <v>7</v>
      </c>
      <c r="D44" s="31">
        <v>100</v>
      </c>
      <c r="E44" s="32"/>
      <c r="F44" s="17"/>
    </row>
    <row r="45" spans="1:13" x14ac:dyDescent="0.25">
      <c r="A45" s="15">
        <v>3.05</v>
      </c>
      <c r="B45" s="19" t="s">
        <v>26</v>
      </c>
      <c r="C45" s="31" t="s">
        <v>2</v>
      </c>
      <c r="D45" s="31">
        <v>60</v>
      </c>
      <c r="E45" s="32"/>
      <c r="F45" s="17"/>
    </row>
    <row r="46" spans="1:13" x14ac:dyDescent="0.25">
      <c r="A46" s="15">
        <v>3.06</v>
      </c>
      <c r="B46" s="19" t="s">
        <v>27</v>
      </c>
      <c r="C46" s="31" t="s">
        <v>2</v>
      </c>
      <c r="D46" s="34">
        <v>12</v>
      </c>
      <c r="E46" s="32"/>
      <c r="F46" s="17"/>
    </row>
    <row r="47" spans="1:13" x14ac:dyDescent="0.25">
      <c r="A47" s="15">
        <v>3.07</v>
      </c>
      <c r="B47" s="19" t="s">
        <v>28</v>
      </c>
      <c r="C47" s="31" t="s">
        <v>2</v>
      </c>
      <c r="D47" s="34">
        <v>12</v>
      </c>
      <c r="E47" s="32"/>
      <c r="F47" s="17"/>
    </row>
    <row r="48" spans="1:13" x14ac:dyDescent="0.25">
      <c r="A48" s="15">
        <v>3.08</v>
      </c>
      <c r="B48" s="19" t="s">
        <v>29</v>
      </c>
      <c r="C48" s="31" t="s">
        <v>2</v>
      </c>
      <c r="D48" s="31">
        <v>4</v>
      </c>
      <c r="E48" s="32"/>
      <c r="F48" s="17"/>
    </row>
    <row r="49" spans="1:12" x14ac:dyDescent="0.25">
      <c r="A49" s="15">
        <v>3.09</v>
      </c>
      <c r="B49" s="19" t="s">
        <v>30</v>
      </c>
      <c r="C49" s="31" t="s">
        <v>2</v>
      </c>
      <c r="D49" s="31">
        <v>2</v>
      </c>
      <c r="E49" s="32"/>
      <c r="F49" s="17"/>
    </row>
    <row r="50" spans="1:12" x14ac:dyDescent="0.25">
      <c r="A50" s="44" t="s">
        <v>40</v>
      </c>
      <c r="B50" s="19" t="s">
        <v>31</v>
      </c>
      <c r="C50" s="31" t="s">
        <v>2</v>
      </c>
      <c r="D50" s="31">
        <v>4</v>
      </c>
      <c r="E50" s="32"/>
      <c r="F50" s="17"/>
    </row>
    <row r="51" spans="1:12" x14ac:dyDescent="0.25">
      <c r="A51" s="15">
        <v>3.11</v>
      </c>
      <c r="B51" s="33" t="s">
        <v>32</v>
      </c>
      <c r="C51" s="31" t="s">
        <v>2</v>
      </c>
      <c r="D51" s="31">
        <v>8</v>
      </c>
      <c r="E51" s="32"/>
      <c r="F51" s="17"/>
    </row>
    <row r="52" spans="1:12" x14ac:dyDescent="0.25">
      <c r="A52" s="15">
        <v>3.12</v>
      </c>
      <c r="B52" s="19" t="s">
        <v>33</v>
      </c>
      <c r="C52" s="31" t="s">
        <v>2</v>
      </c>
      <c r="D52" s="31">
        <v>8</v>
      </c>
      <c r="E52" s="32"/>
      <c r="F52" s="17"/>
    </row>
    <row r="53" spans="1:12" ht="25.5" x14ac:dyDescent="0.25">
      <c r="A53" s="15">
        <v>3.13</v>
      </c>
      <c r="B53" s="19" t="s">
        <v>34</v>
      </c>
      <c r="C53" s="31" t="s">
        <v>2</v>
      </c>
      <c r="D53" s="31">
        <v>16</v>
      </c>
      <c r="E53" s="32"/>
      <c r="F53" s="17"/>
      <c r="J53" s="8"/>
      <c r="K53" s="8"/>
      <c r="L53" s="8"/>
    </row>
    <row r="54" spans="1:12" ht="25.5" x14ac:dyDescent="0.25">
      <c r="A54" s="15">
        <v>3.14</v>
      </c>
      <c r="B54" s="19" t="s">
        <v>35</v>
      </c>
      <c r="C54" s="31" t="s">
        <v>19</v>
      </c>
      <c r="D54" s="31">
        <v>2</v>
      </c>
      <c r="E54" s="32"/>
      <c r="F54" s="17"/>
      <c r="J54" s="8"/>
      <c r="K54" s="9"/>
      <c r="L54" s="8"/>
    </row>
    <row r="55" spans="1:12" ht="38.25" x14ac:dyDescent="0.25">
      <c r="A55" s="15">
        <v>3.15</v>
      </c>
      <c r="B55" s="19" t="s">
        <v>84</v>
      </c>
      <c r="C55" s="31" t="s">
        <v>7</v>
      </c>
      <c r="D55" s="31">
        <v>140</v>
      </c>
      <c r="E55" s="32"/>
      <c r="F55" s="17"/>
      <c r="J55" s="8"/>
      <c r="K55" s="9"/>
      <c r="L55" s="8"/>
    </row>
    <row r="56" spans="1:12" x14ac:dyDescent="0.25">
      <c r="A56" s="15"/>
      <c r="B56" s="45" t="s">
        <v>41</v>
      </c>
      <c r="C56" s="28"/>
      <c r="D56" s="28"/>
      <c r="E56" s="35"/>
      <c r="F56" s="35"/>
      <c r="J56" s="8"/>
      <c r="K56" s="9"/>
      <c r="L56" s="8"/>
    </row>
    <row r="57" spans="1:12" x14ac:dyDescent="0.25">
      <c r="A57" s="14">
        <v>4</v>
      </c>
      <c r="B57" s="26" t="s">
        <v>77</v>
      </c>
      <c r="C57" s="31"/>
      <c r="D57" s="31"/>
      <c r="E57" s="32"/>
      <c r="F57" s="17"/>
      <c r="J57" s="8"/>
      <c r="K57" s="9"/>
      <c r="L57" s="8"/>
    </row>
    <row r="58" spans="1:12" x14ac:dyDescent="0.25">
      <c r="A58" s="15">
        <v>4.01</v>
      </c>
      <c r="B58" s="19" t="s">
        <v>69</v>
      </c>
      <c r="C58" s="31" t="s">
        <v>70</v>
      </c>
      <c r="D58" s="31">
        <v>360</v>
      </c>
      <c r="E58" s="32"/>
      <c r="F58" s="17"/>
      <c r="J58" s="8"/>
      <c r="K58" s="9"/>
      <c r="L58" s="8"/>
    </row>
    <row r="59" spans="1:12" ht="25.5" x14ac:dyDescent="0.25">
      <c r="A59" s="15">
        <v>4.0199999999999996</v>
      </c>
      <c r="B59" s="19" t="s">
        <v>80</v>
      </c>
      <c r="C59" s="31" t="s">
        <v>70</v>
      </c>
      <c r="D59" s="31">
        <v>360</v>
      </c>
      <c r="E59" s="32"/>
      <c r="F59" s="17"/>
      <c r="J59" s="8"/>
      <c r="K59" s="9"/>
      <c r="L59" s="8"/>
    </row>
    <row r="60" spans="1:12" x14ac:dyDescent="0.25">
      <c r="A60" s="15">
        <v>4.03</v>
      </c>
      <c r="B60" s="19" t="s">
        <v>71</v>
      </c>
      <c r="C60" s="31" t="s">
        <v>4</v>
      </c>
      <c r="D60" s="31">
        <v>4</v>
      </c>
      <c r="E60" s="32"/>
      <c r="F60" s="17"/>
      <c r="J60" s="8"/>
      <c r="K60" s="9"/>
      <c r="L60" s="8"/>
    </row>
    <row r="61" spans="1:12" x14ac:dyDescent="0.25">
      <c r="A61" s="15">
        <v>4.04</v>
      </c>
      <c r="B61" s="19" t="s">
        <v>58</v>
      </c>
      <c r="C61" s="31" t="s">
        <v>4</v>
      </c>
      <c r="D61" s="31">
        <v>4</v>
      </c>
      <c r="E61" s="32"/>
      <c r="F61" s="17"/>
      <c r="J61" s="8"/>
      <c r="K61" s="9"/>
      <c r="L61" s="8"/>
    </row>
    <row r="62" spans="1:12" x14ac:dyDescent="0.25">
      <c r="A62" s="15">
        <v>4.05</v>
      </c>
      <c r="B62" s="19" t="s">
        <v>59</v>
      </c>
      <c r="C62" s="31" t="s">
        <v>4</v>
      </c>
      <c r="D62" s="31">
        <v>38</v>
      </c>
      <c r="E62" s="32"/>
      <c r="F62" s="17"/>
      <c r="J62" s="8"/>
      <c r="K62" s="9"/>
      <c r="L62" s="8"/>
    </row>
    <row r="63" spans="1:12" ht="38.25" x14ac:dyDescent="0.25">
      <c r="A63" s="15">
        <v>4.0599999999999996</v>
      </c>
      <c r="B63" s="19" t="s">
        <v>82</v>
      </c>
      <c r="C63" s="31" t="s">
        <v>72</v>
      </c>
      <c r="D63" s="31">
        <v>108</v>
      </c>
      <c r="E63" s="32"/>
      <c r="F63" s="17"/>
      <c r="J63" s="8"/>
      <c r="K63" s="9"/>
      <c r="L63" s="8"/>
    </row>
    <row r="64" spans="1:12" ht="25.5" x14ac:dyDescent="0.25">
      <c r="A64" s="15">
        <v>4.07</v>
      </c>
      <c r="B64" s="19" t="s">
        <v>73</v>
      </c>
      <c r="C64" s="31" t="s">
        <v>4</v>
      </c>
      <c r="D64" s="31">
        <v>120</v>
      </c>
      <c r="E64" s="32"/>
      <c r="F64" s="17"/>
      <c r="J64" s="8"/>
      <c r="K64" s="9"/>
      <c r="L64" s="8"/>
    </row>
    <row r="65" spans="1:12" ht="25.5" x14ac:dyDescent="0.25">
      <c r="A65" s="15">
        <v>4.08</v>
      </c>
      <c r="B65" s="19" t="s">
        <v>81</v>
      </c>
      <c r="C65" s="31" t="s">
        <v>4</v>
      </c>
      <c r="D65" s="31">
        <v>5</v>
      </c>
      <c r="E65" s="32"/>
      <c r="F65" s="17"/>
      <c r="J65" s="8"/>
      <c r="K65" s="9"/>
      <c r="L65" s="8"/>
    </row>
    <row r="66" spans="1:12" ht="25.5" x14ac:dyDescent="0.25">
      <c r="A66" s="15">
        <v>4.09</v>
      </c>
      <c r="B66" s="19" t="s">
        <v>83</v>
      </c>
      <c r="C66" s="31" t="s">
        <v>70</v>
      </c>
      <c r="D66" s="31">
        <v>9</v>
      </c>
      <c r="E66" s="32"/>
      <c r="F66" s="17"/>
      <c r="J66" s="8"/>
      <c r="K66" s="9"/>
      <c r="L66" s="8"/>
    </row>
    <row r="67" spans="1:12" x14ac:dyDescent="0.25">
      <c r="A67" s="44" t="s">
        <v>86</v>
      </c>
      <c r="B67" s="19" t="s">
        <v>74</v>
      </c>
      <c r="C67" s="31" t="s">
        <v>4</v>
      </c>
      <c r="D67" s="31">
        <v>38</v>
      </c>
      <c r="E67" s="32"/>
      <c r="F67" s="17"/>
      <c r="J67" s="8"/>
      <c r="K67" s="9"/>
      <c r="L67" s="8"/>
    </row>
    <row r="68" spans="1:12" x14ac:dyDescent="0.25">
      <c r="A68" s="15">
        <v>4.1100000000000003</v>
      </c>
      <c r="B68" s="19" t="s">
        <v>75</v>
      </c>
      <c r="C68" s="31" t="s">
        <v>4</v>
      </c>
      <c r="D68" s="31">
        <v>2</v>
      </c>
      <c r="E68" s="32"/>
      <c r="F68" s="17"/>
      <c r="J68" s="8"/>
      <c r="K68" s="9"/>
      <c r="L68" s="8"/>
    </row>
    <row r="69" spans="1:12" ht="25.5" x14ac:dyDescent="0.25">
      <c r="A69" s="15">
        <v>4.12</v>
      </c>
      <c r="B69" s="19" t="s">
        <v>76</v>
      </c>
      <c r="C69" s="31" t="s">
        <v>4</v>
      </c>
      <c r="D69" s="31">
        <v>3</v>
      </c>
      <c r="E69" s="32"/>
      <c r="F69" s="17"/>
      <c r="J69" s="8"/>
      <c r="K69" s="9"/>
      <c r="L69" s="8"/>
    </row>
    <row r="70" spans="1:12" x14ac:dyDescent="0.25">
      <c r="A70" s="15"/>
      <c r="B70" s="45" t="s">
        <v>41</v>
      </c>
      <c r="C70" s="31"/>
      <c r="D70" s="31"/>
      <c r="E70" s="32"/>
      <c r="F70" s="23"/>
      <c r="J70" s="8"/>
      <c r="K70" s="9"/>
      <c r="L70" s="8"/>
    </row>
    <row r="71" spans="1:12" x14ac:dyDescent="0.25">
      <c r="A71" s="15"/>
      <c r="B71" s="19"/>
      <c r="C71" s="31"/>
      <c r="D71" s="31"/>
      <c r="E71" s="32"/>
      <c r="F71" s="17"/>
      <c r="J71" s="8"/>
      <c r="K71" s="9"/>
      <c r="L71" s="8"/>
    </row>
    <row r="72" spans="1:12" x14ac:dyDescent="0.25">
      <c r="A72" s="15"/>
      <c r="B72" s="3" t="s">
        <v>36</v>
      </c>
      <c r="C72" s="15"/>
      <c r="D72" s="15"/>
      <c r="E72" s="17"/>
      <c r="F72" s="23"/>
      <c r="J72" s="8"/>
      <c r="K72" s="9"/>
      <c r="L72" s="8"/>
    </row>
    <row r="73" spans="1:12" x14ac:dyDescent="0.25">
      <c r="A73" s="15"/>
      <c r="B73" s="46" t="s">
        <v>78</v>
      </c>
      <c r="C73" s="36">
        <v>0.17</v>
      </c>
      <c r="D73" s="15"/>
      <c r="E73" s="17"/>
      <c r="F73" s="17"/>
      <c r="J73" s="8"/>
      <c r="K73" s="9"/>
      <c r="L73" s="8"/>
    </row>
    <row r="74" spans="1:12" x14ac:dyDescent="0.25">
      <c r="A74" s="15"/>
      <c r="B74" s="46" t="s">
        <v>37</v>
      </c>
      <c r="C74" s="36">
        <v>0.05</v>
      </c>
      <c r="D74" s="15"/>
      <c r="E74" s="17"/>
      <c r="F74" s="17"/>
      <c r="J74" s="8"/>
      <c r="K74" s="9"/>
      <c r="L74" s="8"/>
    </row>
    <row r="75" spans="1:12" x14ac:dyDescent="0.25">
      <c r="A75" s="15"/>
      <c r="B75" s="46" t="s">
        <v>79</v>
      </c>
      <c r="C75" s="36">
        <v>0.03</v>
      </c>
      <c r="D75" s="15"/>
      <c r="E75" s="17"/>
      <c r="F75" s="17"/>
      <c r="J75" s="8"/>
      <c r="K75" s="9"/>
      <c r="L75" s="8"/>
    </row>
    <row r="76" spans="1:12" x14ac:dyDescent="0.25">
      <c r="A76" s="15"/>
      <c r="B76" s="37" t="s">
        <v>38</v>
      </c>
      <c r="C76" s="38">
        <v>0.25</v>
      </c>
      <c r="D76" s="15"/>
      <c r="E76" s="17"/>
      <c r="F76" s="23"/>
      <c r="J76" s="8"/>
      <c r="K76" s="9"/>
      <c r="L76" s="8"/>
    </row>
    <row r="77" spans="1:12" x14ac:dyDescent="0.25">
      <c r="A77" s="15"/>
      <c r="B77" s="47" t="s">
        <v>39</v>
      </c>
      <c r="C77" s="48">
        <v>0.19</v>
      </c>
      <c r="D77" s="15"/>
      <c r="E77" s="17"/>
      <c r="F77" s="17"/>
      <c r="J77" s="8"/>
      <c r="K77" s="9"/>
      <c r="L77" s="8"/>
    </row>
    <row r="78" spans="1:12" x14ac:dyDescent="0.25">
      <c r="A78" s="15"/>
      <c r="B78" s="39" t="s">
        <v>88</v>
      </c>
      <c r="C78" s="15"/>
      <c r="D78" s="40"/>
      <c r="E78" s="17"/>
      <c r="F78" s="23"/>
      <c r="H78" s="10"/>
      <c r="J78" s="8"/>
      <c r="K78" s="9"/>
      <c r="L78" s="8"/>
    </row>
    <row r="79" spans="1:12" x14ac:dyDescent="0.25">
      <c r="J79" s="8"/>
      <c r="K79" s="9"/>
      <c r="L79" s="8"/>
    </row>
    <row r="80" spans="1:12" ht="21.75" customHeight="1" x14ac:dyDescent="0.25">
      <c r="A80" s="11"/>
      <c r="B80" s="11"/>
      <c r="C80" s="11"/>
      <c r="D80" s="11"/>
      <c r="E80" s="11"/>
      <c r="F80" s="11"/>
      <c r="H80" s="10"/>
    </row>
    <row r="81" spans="1:8" ht="14.25" customHeight="1" x14ac:dyDescent="0.25">
      <c r="A81" s="11"/>
      <c r="B81" s="11"/>
      <c r="C81" s="11"/>
      <c r="D81" s="11"/>
      <c r="E81" s="11"/>
      <c r="F81" s="11"/>
      <c r="H81" s="10"/>
    </row>
    <row r="82" spans="1:8" ht="6" customHeight="1" x14ac:dyDescent="0.25"/>
    <row r="84" spans="1:8" x14ac:dyDescent="0.25">
      <c r="B84" s="12"/>
      <c r="D84" s="8"/>
      <c r="E84" s="8"/>
      <c r="F84" s="8"/>
    </row>
    <row r="85" spans="1:8" x14ac:dyDescent="0.25">
      <c r="B85" s="1" t="s">
        <v>89</v>
      </c>
      <c r="C85" s="13"/>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VERIFICACION JURIDICA</vt:lpstr>
      <vt:lpstr>VERIFICACION FINANCIERA</vt:lpstr>
      <vt:lpstr>VERIFICACION TECNICA</vt:lpstr>
      <vt:lpstr>VTE</vt:lpstr>
      <vt:lpstr>500M2</vt:lpstr>
      <vt:lpstr>CALIFICACION PERSONAL</vt:lpstr>
      <vt:lpstr>CORREC. ARITM.</vt:lpstr>
      <vt:lpstr>PROPUESTA ECONOMICA</vt:lpstr>
      <vt:lpstr>'CALIFICACION PERSONAL'!Área_de_impresión</vt:lpstr>
      <vt:lpstr>'VERIFICACION JURIDICA'!Área_de_impresión</vt:lpstr>
      <vt:lpstr>'VERIFICACION TECNICA'!Área_de_impresión</vt:lpstr>
      <vt:lpstr>formula</vt:lpstr>
      <vt:lpstr>'CALIFICACION PERSONAL'!Títulos_a_imprimir</vt:lpstr>
      <vt:lpstr>'VERIFICACION FINANCIERA'!Títulos_a_imprimir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STF1NXPW1</cp:lastModifiedBy>
  <cp:lastPrinted>2017-09-05T21:11:09Z</cp:lastPrinted>
  <dcterms:created xsi:type="dcterms:W3CDTF">2009-02-06T14:59:26Z</dcterms:created>
  <dcterms:modified xsi:type="dcterms:W3CDTF">2017-10-24T19:36:48Z</dcterms:modified>
</cp:coreProperties>
</file>